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495" windowWidth="6390" windowHeight="3525" tabRatio="826" activeTab="2"/>
  </bookViews>
  <sheets>
    <sheet name="BANG CDKT" sheetId="1" r:id="rId1"/>
    <sheet name="KQHDKD - TTCK SG" sheetId="2" r:id="rId2"/>
    <sheet name="BAO CAO TOM TAT" sheetId="3" r:id="rId3"/>
    <sheet name="THUYET MINH BAO CAO 1" sheetId="4" state="hidden" r:id="rId4"/>
    <sheet name="THUYET MINH BAO CAO TC 2" sheetId="5" state="hidden" r:id="rId5"/>
    <sheet name="BANG CDPS NAM 2005" sheetId="6" state="hidden" r:id="rId6"/>
    <sheet name="00000000" sheetId="7" state="veryHidden" r:id="rId7"/>
    <sheet name="10000000" sheetId="8" state="veryHidden" r:id="rId8"/>
  </sheets>
  <definedNames>
    <definedName name="_Fill" hidden="1">#REF!</definedName>
    <definedName name="_xlnm.Print_Area" localSheetId="3">'THUYET MINH BAO CAO 1'!$1:$298</definedName>
    <definedName name="_xlnm.Print_Titles" localSheetId="0">'BANG CDKT'!$9:$10</definedName>
  </definedNames>
  <calcPr fullCalcOnLoad="1"/>
</workbook>
</file>

<file path=xl/sharedStrings.xml><?xml version="1.0" encoding="utf-8"?>
<sst xmlns="http://schemas.openxmlformats.org/spreadsheetml/2006/main" count="1842" uniqueCount="1415">
  <si>
    <t xml:space="preserve">15. C¸c nguyªn t¾c vµ ph­¬ng ph¸p kÕ to¸n kh¸c. </t>
  </si>
  <si>
    <t>X¸c ®Þnh kÕt qu¶ kinh doanh - CN SG</t>
  </si>
  <si>
    <t>- 911031</t>
  </si>
  <si>
    <t>X§KQKD hµng hãa</t>
  </si>
  <si>
    <t>9110311</t>
  </si>
  <si>
    <t xml:space="preserve">CÔNG TY CỔ PHẦN VINAFCO </t>
  </si>
  <si>
    <t xml:space="preserve">                          ngày 20/3/2006 của Bộ trưởng Bộ Tài chính</t>
  </si>
  <si>
    <t>BẢNG CÂN ĐỐI KẾ TOÁN GIỮA NIÊN ĐỘ</t>
  </si>
  <si>
    <t>tại TP. Hà nội, ngày 30 tháng 6 năm 2006</t>
  </si>
  <si>
    <t>Đơn vị tính: đồng</t>
  </si>
  <si>
    <t xml:space="preserve">  Mã số </t>
  </si>
  <si>
    <t xml:space="preserve"> Số đầu năm </t>
  </si>
  <si>
    <t xml:space="preserve">  I. Tiền và các khoản tương đương tiền  </t>
  </si>
  <si>
    <t xml:space="preserve"> II. Các khoản đầu tư tài chính ngắn hạn </t>
  </si>
  <si>
    <t xml:space="preserve">  1. Đầu tư ngắn hạn </t>
  </si>
  <si>
    <t xml:space="preserve">  2. Dự phòng giảm giá chứng khoán đầu tư ngắn hạn (*) </t>
  </si>
  <si>
    <t xml:space="preserve"> III. Các khoản phải thu ngắn hạn </t>
  </si>
  <si>
    <t xml:space="preserve">  1. Phải thu khách hàng </t>
  </si>
  <si>
    <t xml:space="preserve">  2. Trả trước cho người bán </t>
  </si>
  <si>
    <t xml:space="preserve">  3. Phải thu nội bộ ngắn hạn </t>
  </si>
  <si>
    <t xml:space="preserve">  4. Phải thu theo tiến độ kế hoạch hợp đồng xây dựng </t>
  </si>
  <si>
    <t xml:space="preserve">  5. Các khoản phải thu khác </t>
  </si>
  <si>
    <t xml:space="preserve"> V. Tài sản ngắn hạn khác </t>
  </si>
  <si>
    <t xml:space="preserve">  2. Thuế giá trị gia tăng được khấu trừ </t>
  </si>
  <si>
    <t xml:space="preserve">  1. Chi phí trả trước ngắn hạn </t>
  </si>
  <si>
    <t xml:space="preserve">  IV. Hàng tồn kho  </t>
  </si>
  <si>
    <t>- 1561</t>
  </si>
  <si>
    <t>Gi¸ mua hµng hãa</t>
  </si>
  <si>
    <t>- 156103</t>
  </si>
  <si>
    <t>Gi¸ mua hµng hãa-VNC SG</t>
  </si>
  <si>
    <t xml:space="preserve">Tæng Gi¸m ®èc </t>
  </si>
  <si>
    <t>1561031</t>
  </si>
  <si>
    <t>Gi¸ mua hµng hãa-than</t>
  </si>
  <si>
    <t>1561032</t>
  </si>
  <si>
    <t>Gi¸ mua hµng hãa - §TD§</t>
  </si>
  <si>
    <t>1561033</t>
  </si>
  <si>
    <t>Gi¸ mua hµng hãa - NH3</t>
  </si>
  <si>
    <t>1561034</t>
  </si>
  <si>
    <t>Gi¸ mua hµng hãa - CaCO3 YB</t>
  </si>
  <si>
    <t>1561035</t>
  </si>
  <si>
    <t>Gi¸ mua hµng hãa - CaCO3 HN</t>
  </si>
  <si>
    <t>- 1562</t>
  </si>
  <si>
    <t>Chi phÝ thu mua hµng hãa</t>
  </si>
  <si>
    <t>- 156203</t>
  </si>
  <si>
    <t>Chi phÝ thu mua hµng hãa-VNC SG</t>
  </si>
  <si>
    <t>1562031</t>
  </si>
  <si>
    <t>Chi phÝ thu mua hµng hãa-than</t>
  </si>
  <si>
    <t>1562034</t>
  </si>
  <si>
    <t>Chi phÝ thu mua hµng hãa-CaCO3 YB</t>
  </si>
  <si>
    <t>1562035</t>
  </si>
  <si>
    <t>Chi phÝ thu mua hµng hãa-CaCO3 HN</t>
  </si>
  <si>
    <t>157</t>
  </si>
  <si>
    <t>Hµng göi ®i b¸n</t>
  </si>
  <si>
    <t>159</t>
  </si>
  <si>
    <t>Dù phßng gi¶m gi¸ hµng tån</t>
  </si>
  <si>
    <t>- 161</t>
  </si>
  <si>
    <t>Chi sù nghiÖp</t>
  </si>
  <si>
    <t>1611</t>
  </si>
  <si>
    <t>Chi sù nghiÖp n¨m tr­íc</t>
  </si>
  <si>
    <t>1612</t>
  </si>
  <si>
    <t>Chi sù nghiÖp n¨m nay</t>
  </si>
  <si>
    <t>- 211</t>
  </si>
  <si>
    <t>Tµi s¶n cè ®Þnh h÷u h×nh</t>
  </si>
  <si>
    <t>21103</t>
  </si>
  <si>
    <t>2112</t>
  </si>
  <si>
    <t>Nhµ cöa vËt kiÕn tróc</t>
  </si>
  <si>
    <t>2113</t>
  </si>
  <si>
    <t>2114</t>
  </si>
  <si>
    <t>Ph­¬ng tiÖn vËn t¶i, truyÒn dÉn</t>
  </si>
  <si>
    <t>2115</t>
  </si>
  <si>
    <t>2116</t>
  </si>
  <si>
    <t>C©y l©u n¨m, sóc vËt lµm viÖc vµ cho SP</t>
  </si>
  <si>
    <t>2118</t>
  </si>
  <si>
    <t>TSC§ kh¸c</t>
  </si>
  <si>
    <t>- 212</t>
  </si>
  <si>
    <t>Tµi s¶n cè ®Þnh thuª tµi chÝnh</t>
  </si>
  <si>
    <t>21203</t>
  </si>
  <si>
    <t>Tµi s¶n cè ®Þnh thuª tµi chÝnh-VNC SG</t>
  </si>
  <si>
    <t>- 213</t>
  </si>
  <si>
    <t>Tµi s¶n cè ®Þnh v« h×nh</t>
  </si>
  <si>
    <t>2131</t>
  </si>
  <si>
    <t>QuyÒn sö dông ®Êt</t>
  </si>
  <si>
    <t>2132</t>
  </si>
  <si>
    <t>QuyÒn ph¸t hµnh</t>
  </si>
  <si>
    <t>2133</t>
  </si>
  <si>
    <t>B¶n quyÒn, b»ng s¸ng chÕ</t>
  </si>
  <si>
    <t>2134</t>
  </si>
  <si>
    <t>Nh·n hiÖu hµng hãa</t>
  </si>
  <si>
    <t>2135</t>
  </si>
  <si>
    <t>PhÇn mÒm m¸y tÝnh</t>
  </si>
  <si>
    <t>2136</t>
  </si>
  <si>
    <t>GiÊy phÐp &amp; giÊy phÐp nhùng quyÒn</t>
  </si>
  <si>
    <t>2138</t>
  </si>
  <si>
    <t>TSC§ v« h×nh kh¸c</t>
  </si>
  <si>
    <t>- 214</t>
  </si>
  <si>
    <t>Hao mßn tµi s¶n cè ®Þnh</t>
  </si>
  <si>
    <t>- 2141</t>
  </si>
  <si>
    <t>Hao mßn TSC§ h÷u h×nh</t>
  </si>
  <si>
    <t>214103</t>
  </si>
  <si>
    <t>Hao mßn TSC§ h÷u h×nh-VNC SG</t>
  </si>
  <si>
    <t>- 2142</t>
  </si>
  <si>
    <t>Hao mßn TSC§ thuª tµi chÝnh</t>
  </si>
  <si>
    <t>214203</t>
  </si>
  <si>
    <t>Hao mßn TSC§ thuª tµi chÝnh-VNC SG</t>
  </si>
  <si>
    <t>- 2143</t>
  </si>
  <si>
    <t>Hao mßn TSC§ v« h×nh</t>
  </si>
  <si>
    <t>214303</t>
  </si>
  <si>
    <t>Hao mßn TSC§ v« h×nh-VNC SG</t>
  </si>
  <si>
    <t>- 221</t>
  </si>
  <si>
    <t>§Çu t­ chøng kho¸n dµi h¹n</t>
  </si>
  <si>
    <t>2211</t>
  </si>
  <si>
    <t>Ký quü, ký c­îc dµi h¹n-VNC SG</t>
  </si>
  <si>
    <t>- 311</t>
  </si>
  <si>
    <t>Vay ng¾n h¹n</t>
  </si>
  <si>
    <t>- 31103</t>
  </si>
  <si>
    <t>Vay ng¾n h¹n VN§-VNC SG</t>
  </si>
  <si>
    <t>311031</t>
  </si>
  <si>
    <t>Vay ng¾n h¹n VN§</t>
  </si>
  <si>
    <t>311032</t>
  </si>
  <si>
    <t>Vay ng¾n h¹n Ngo¹i tÖ</t>
  </si>
  <si>
    <t>- 315</t>
  </si>
  <si>
    <t>Nî dµi h¹n ®Õn h¹n tr¶</t>
  </si>
  <si>
    <t>31503</t>
  </si>
  <si>
    <t>Nî dµi h¹n ®Õn h¹n tr¶-VNC SG</t>
  </si>
  <si>
    <t>- 331</t>
  </si>
  <si>
    <t>Ph¶i tr¶ cho ng­êi b¸n</t>
  </si>
  <si>
    <t>33103</t>
  </si>
  <si>
    <t xml:space="preserve">    C«ng ty TNHH VINAFCO Sµi Gßn ¸p dông chÕ ®é kÕ to¸n ViÖt Nam ban hµnh theo QuyÕt ®Þnh sè 1141/TC/Q§/C§KT ngµy 01/11/1995, QuyÕt ®Þnh 167/2000/Q§-BTC ngµy 25/10/2000. C¸c ChuÈn mùc kÕ to¸n ViÖt Nam do Bé Tµi chÝnh ban hµnh theo c¸c QuyÕt ®Þnh sè 149/2001/Q§-BTC ngµy 31/12/2001, QuyÕt ®Þnh sè 165/2002/Q§-BTC ngµy 31/12/2002, QuyÕt ®Þnh sè 234/2003/Q§-BTC ngµy 30/12/2003, QuyÕt ®Þnh sè 12/2005/Q§-BTC ngµy 15/2/2005, QuyÕt ®Þnh 100/2005 Q§-BTC ngµy 28/12/2005 vµ c¸c th«ng t­ söa ®æi, bæ sung, h­íng dÉn thùc hiÖn kÌm theo. B¸o c¸o Tµi chÝnh ®­îc lËp vµ tr×nh bÇy phï hîp víi c¸c chuÈn mùc vµ chÕ ®é kÕ to¸n ViÖt Nam.</t>
  </si>
  <si>
    <t>- Ph­¬ng ph¸p khÊu hao TSC§ h÷u h×nh, TSC§ v« h×nh: khÊu hao ®­îc trÝch lËp theo ph­¬ng ph¸p ®­êng th¼ng. Thêi gian khÊu hao ®­îc tÝnh theo QuyÕt ®Þnh 206/2003/Q§-BTC ngµy 12 th¸ng 12 n¨m 2003 ®èi víi tõng nhãm tµi s¶n cè ®Þnh .</t>
  </si>
  <si>
    <t>- LËp dù phßng ph¶i thu khã ®ßi: thÓ hiÖn phÇn gi¸ trÞ dù kiÕn tæn thÊt cña c¸c kho¶n nî ph¶i thu kh«ng ®­îc kh¸ch hµng thanh to¸n ph¸t sinh ®èi víi c¸c kho¶n ph¶i thu t¹i thêi ®iÓm lËp B¸o c¸o Tµi chÝnh. Hoµn nhËp khi thu håi ®­îc c¸c kho¶n ph¶i thu khã ®ßi.</t>
  </si>
  <si>
    <t>6. Hîp ®ång thuª tµi chÝnh</t>
  </si>
  <si>
    <t xml:space="preserve"> (1) Những chỉ tiêu không có số liệu có thể không phải trình bày nhưng không được đánh lại số thứ tự chỉ tiêu và "Mã số". </t>
  </si>
  <si>
    <t xml:space="preserve"> (2) Số liệu trong các chỉ tiêu có dấu ( * ) được ghi bằng số âm dưới hình thức ghi trong ngoặc đơn (... ). </t>
  </si>
  <si>
    <t xml:space="preserve"> (3) Đối với doanh nghiệp có kỳ kế toán năm là năm dương lịch (X) thì "Số cuối năm" có thể ghi là "31.12.X"; "Số đầu năm" có thể ghi là "01.01.X". </t>
  </si>
  <si>
    <t xml:space="preserve"> B - TÀI SẢN DÀI HẠN                                                       ( 200 = 210 + 220 + 240 + 250 + 260 ) </t>
  </si>
  <si>
    <t xml:space="preserve">* Lợi nhuận sau thuế chưa bao gồm lãi được chia 6 tháng năm 2006 từ Liên doanh Draco: 2,4 tỷ </t>
  </si>
  <si>
    <t>- Gi¸ trÞ thuÇn cña c¸c kho¶n ph¶i thu dµi h¹n</t>
  </si>
  <si>
    <t>6. T¨ng, gi¶m tµi s¶n cè ®Þnh h÷u h×nh:</t>
  </si>
  <si>
    <t>Kho¶n môc</t>
  </si>
  <si>
    <t>Nguyªn gi¸ TSC§ h÷u h×nh</t>
  </si>
  <si>
    <t>- Mua trong n¨m</t>
  </si>
  <si>
    <t>- §Çu t­ XDCB hoµn thµnh</t>
  </si>
  <si>
    <t>- T¨ng kh¸c</t>
  </si>
  <si>
    <t>- ChuyÓn sang B§S ®Çu t­</t>
  </si>
  <si>
    <t>- Thanh lý, nh­îng b¸n</t>
  </si>
  <si>
    <t>- Gi¶m kh¸c</t>
  </si>
  <si>
    <t>Sè d­ cuèi n¨m</t>
  </si>
  <si>
    <t>Gi¸ trÞ hao mßn luü kÕ</t>
  </si>
  <si>
    <t>- KhÊu hao trong n¨m</t>
  </si>
  <si>
    <t>Gi¸ trÞ cßn l¹i cña TSC§ HH</t>
  </si>
  <si>
    <t>- T¹i ngµy ®Çu n¨m</t>
  </si>
  <si>
    <t>TiÒn ngo¹i tÖ göi NH Hµng H¶i - TK thanh to¸n</t>
  </si>
  <si>
    <t>1122032</t>
  </si>
  <si>
    <t>- T¹i ngµy cuèi n¨m</t>
  </si>
  <si>
    <t>* Gi¸ trÞ cßn l¹i cuèi n¨m cña TSC§ h÷u h×nh ®· dïng thÕ chÊp, cÇm cè c¸c kho¶n vay:</t>
  </si>
  <si>
    <t>* Nguyªn gi¸ TSC§ cuèi n¨m ®· khÊu hao hÕt nh­ng vÉn cßn sö dông:</t>
  </si>
  <si>
    <t>* Nguyªn gi¸ TSC§ cuèi n¨m chê thanh lý:</t>
  </si>
  <si>
    <t>* C¸c cam kÕt vÒ viÖc mua, b¸n TSC§ h÷u h×nh cã gi¸ trÞ lín ch­a thùc hiÖn:</t>
  </si>
  <si>
    <t>7. T¨ng, gi¶m tµi s¶n cè ®Þnh thuª tµi chÝnh:</t>
  </si>
  <si>
    <t>Nguyªn gi¸ TSC§ thuª TC</t>
  </si>
  <si>
    <t>Sè d­ ®Çu n¨m</t>
  </si>
  <si>
    <t>- Thuª tµi chÝnh trong n¨m</t>
  </si>
  <si>
    <t>- Mua l¹i TSC§ thuª tµi chÝnh</t>
  </si>
  <si>
    <t>- Tr¶ l¹i TSC§ thuª tµi chÝnh</t>
  </si>
  <si>
    <t>Gi¸ trÞ cßn l¹i cña TSC§ thuª TC</t>
  </si>
  <si>
    <t>§Çu t­ chøng kho¸n ng¾n h¹n</t>
  </si>
  <si>
    <t>1211</t>
  </si>
  <si>
    <t>§.t­ c.kho¸n ng¾n h¹n: Cæ phiÕu</t>
  </si>
  <si>
    <t>1212</t>
  </si>
  <si>
    <t>§.t­ c.kho¸n ng¾n h¹n: Tr¸i phiÕu</t>
  </si>
  <si>
    <t>128</t>
  </si>
  <si>
    <t>§Çu t­ ng¾n h¹n kh¸c</t>
  </si>
  <si>
    <t>129</t>
  </si>
  <si>
    <t>Dù phßng gi¶m gi¸ ®/t­ ng¾n h¹n</t>
  </si>
  <si>
    <t>- 131</t>
  </si>
  <si>
    <t>Ph¶i thu cña kh¸ch hµng</t>
  </si>
  <si>
    <t>13103</t>
  </si>
  <si>
    <t>Ph¶i thu cña kh¸ch hµng - V¨n phßng SG</t>
  </si>
  <si>
    <t>- 133</t>
  </si>
  <si>
    <t>ThuÕ GTGT ®­îc khÊu trõ</t>
  </si>
  <si>
    <t>- 1331</t>
  </si>
  <si>
    <t>ThuÕ GTGT ®­îc khÊu trõ cña hµng ho¸ dÞch vô</t>
  </si>
  <si>
    <t>- 13311</t>
  </si>
  <si>
    <t>1331103</t>
  </si>
  <si>
    <t>ThuÕ GTGT ®­îc khÊu trõ cña HHDV-VNC SG</t>
  </si>
  <si>
    <t>- 13312</t>
  </si>
  <si>
    <t>ThuÕ GTGT hµng nhËp khÈu</t>
  </si>
  <si>
    <t>1331203</t>
  </si>
  <si>
    <t>ThuÕ GTGT hµng nhËp khÈu -VNC SG</t>
  </si>
  <si>
    <t>13313</t>
  </si>
  <si>
    <t>ThuÕ GTGT ®­îc hoµn l¹i, tr¶ l¹i nhµ cung cÊp</t>
  </si>
  <si>
    <t>- 1332</t>
  </si>
  <si>
    <t>ThuÕ GTGT ®­îc khÊu trõ cña TSC§</t>
  </si>
  <si>
    <t>133203</t>
  </si>
  <si>
    <t>ThuÕ GTGT ®­îc khÊu trõ cña TSC§-VNC SG</t>
  </si>
  <si>
    <t>- 136</t>
  </si>
  <si>
    <t>Ph¶i thu néi bé</t>
  </si>
  <si>
    <t>- 1360</t>
  </si>
  <si>
    <t>Ph¶i thu néi bé VINAFCO</t>
  </si>
  <si>
    <t>13600</t>
  </si>
  <si>
    <t>V¨n phßng Cty CP Vinafco</t>
  </si>
  <si>
    <t>13601</t>
  </si>
  <si>
    <t>Phßng KTÕ- Cty</t>
  </si>
  <si>
    <t>13602</t>
  </si>
  <si>
    <t>CN Cty CP Vinafco-HP</t>
  </si>
  <si>
    <t>13603</t>
  </si>
  <si>
    <t>Ph¶i thu néi bé - SG</t>
  </si>
  <si>
    <t>13604</t>
  </si>
  <si>
    <t>Nhµ m¸y thÐp  Vinafco</t>
  </si>
  <si>
    <t>13605</t>
  </si>
  <si>
    <t>XN §¹i lý vËn t¶i &amp; Vt­ KT</t>
  </si>
  <si>
    <t>13606</t>
  </si>
  <si>
    <t>Cöa hµng VLXD -Vinafco</t>
  </si>
  <si>
    <t>13608</t>
  </si>
  <si>
    <t>Trung t©m TM &amp; VTQTÕ Vinafco</t>
  </si>
  <si>
    <t>1368</t>
  </si>
  <si>
    <t>Kinh phÝ c«ng ®oµn ph¶i nép cÊp trªn</t>
  </si>
  <si>
    <t>- 138</t>
  </si>
  <si>
    <t>Ph¶i thu kh¸c</t>
  </si>
  <si>
    <t>1381</t>
  </si>
  <si>
    <t>Tµi s¶n thiÕu chê xö lý</t>
  </si>
  <si>
    <t>- 1388</t>
  </si>
  <si>
    <t>- 138803</t>
  </si>
  <si>
    <t xml:space="preserve">                                Ngµy 25 th¸ng 02 n¨m 2006</t>
  </si>
  <si>
    <t>Ph¶i thu kh¸c-VNC SG</t>
  </si>
  <si>
    <t>1388035</t>
  </si>
  <si>
    <t>Ph¶i thu kh¸c- Taray</t>
  </si>
  <si>
    <t>1388038</t>
  </si>
  <si>
    <t>1388039</t>
  </si>
  <si>
    <t>Ph¶i thu kh¸c- DÞch vô ®¹i lý tµu</t>
  </si>
  <si>
    <t>139</t>
  </si>
  <si>
    <t>Dù phßng ph¶i thu khã ®ßi</t>
  </si>
  <si>
    <t>- 141</t>
  </si>
  <si>
    <t>T¹m øng</t>
  </si>
  <si>
    <t>14103</t>
  </si>
  <si>
    <t>T¹m øng-VNC SG</t>
  </si>
  <si>
    <t>- 142</t>
  </si>
  <si>
    <t>Chi phÝ tr¶ tr­íc</t>
  </si>
  <si>
    <t>- 1421</t>
  </si>
  <si>
    <t>Chi phÝ tr¶ trø¬c</t>
  </si>
  <si>
    <t>142103</t>
  </si>
  <si>
    <t>Chi phÝ tr¶ trø¬c-VNC SG</t>
  </si>
  <si>
    <t>- 1422</t>
  </si>
  <si>
    <t>Chi phÝ chê kÕt chuyÓn</t>
  </si>
  <si>
    <t>142203</t>
  </si>
  <si>
    <t>Chi phÝ chê kÕt chuyÓn-VNC SG</t>
  </si>
  <si>
    <t>- 144</t>
  </si>
  <si>
    <t>CÇm cè, ký c­îc, ký quü ng¾n h¹n</t>
  </si>
  <si>
    <t>14403</t>
  </si>
  <si>
    <t>CÇm cè, ký c­îc, ký quü ng¾n h¹n-VNC SG</t>
  </si>
  <si>
    <t>- 151</t>
  </si>
  <si>
    <t>Hµng mua ®ang ®i trªn ®õ¬ng</t>
  </si>
  <si>
    <t>- 15103</t>
  </si>
  <si>
    <t>Hµng mua ®ang ®i trªn ®õ¬ng-VNF SG</t>
  </si>
  <si>
    <t>151031</t>
  </si>
  <si>
    <t>Hµng mua ®ang ®i trªn ®­êng - Than ®¸</t>
  </si>
  <si>
    <t>151034</t>
  </si>
  <si>
    <t>Hµng mua ®ang ®i trªn ®­êng - CaCO3 YB</t>
  </si>
  <si>
    <t>- 152</t>
  </si>
  <si>
    <t>Nguyªn liÖu, vËt liÖu</t>
  </si>
  <si>
    <t>1521</t>
  </si>
  <si>
    <t>Nguyªn vËt liÖu chÝnh</t>
  </si>
  <si>
    <t>1522</t>
  </si>
  <si>
    <t>Nguyªn vËt liÖu phô</t>
  </si>
  <si>
    <t>- 1523</t>
  </si>
  <si>
    <t>Nhiªn liÖu</t>
  </si>
  <si>
    <t>152303</t>
  </si>
  <si>
    <t>Nhiªn liÖu-VNC SG</t>
  </si>
  <si>
    <t>- 1524</t>
  </si>
  <si>
    <t>Phô tïng söa ch÷a thay thÕ</t>
  </si>
  <si>
    <t>152403</t>
  </si>
  <si>
    <t>Phô tïng söa ch÷a thay thÕ-VNC SG</t>
  </si>
  <si>
    <t>- 153</t>
  </si>
  <si>
    <t>C«ng cô, dông cô</t>
  </si>
  <si>
    <t>1531</t>
  </si>
  <si>
    <t>- 1532</t>
  </si>
  <si>
    <t>Bao b× lu©n chuyÓn</t>
  </si>
  <si>
    <t>- 153203</t>
  </si>
  <si>
    <t>Bao b× lu©n chuyÓn-VNC SG</t>
  </si>
  <si>
    <t>1532031</t>
  </si>
  <si>
    <t xml:space="preserve">       Vũ Minh Đức                    Nguyễn Phương Mai</t>
  </si>
  <si>
    <t>Vũ Đình Quang</t>
  </si>
  <si>
    <t xml:space="preserve">   Người lập biểu               Kế toán trưởng </t>
  </si>
  <si>
    <t xml:space="preserve">   (Ký, họ tên)                      (Ký, họ tên) </t>
  </si>
  <si>
    <t xml:space="preserve">       Vũ Minh Đức           Nguyễn Phương Mai</t>
  </si>
  <si>
    <t>Bao b× lu©n chuyÓn -Than</t>
  </si>
  <si>
    <t>1532034</t>
  </si>
  <si>
    <t>Pallet ®ãng hµng bét ®¸ CaCO3 YB</t>
  </si>
  <si>
    <t>1532037</t>
  </si>
  <si>
    <t>C«ng cô dông cô - ®éi xe</t>
  </si>
  <si>
    <t>1533</t>
  </si>
  <si>
    <t>§å dïng cho thuª</t>
  </si>
  <si>
    <t>- 154</t>
  </si>
  <si>
    <t>Chi phÝ SX, KD dë dang</t>
  </si>
  <si>
    <t>- 15403</t>
  </si>
  <si>
    <t>Chi phÝ SX, KD dë dang-VNC SG</t>
  </si>
  <si>
    <t>154031</t>
  </si>
  <si>
    <t>Chi phÝ SX, KD dë dang - §éi xe cont</t>
  </si>
  <si>
    <t>154033</t>
  </si>
  <si>
    <t>Chi phÝ SX, KD dë dang - Giao nhËn</t>
  </si>
  <si>
    <t>154037</t>
  </si>
  <si>
    <t>Chi phÝ SX, KD dë dang - DVVC CaCO3 YB</t>
  </si>
  <si>
    <t>155</t>
  </si>
  <si>
    <t>Thµnh phÈm</t>
  </si>
  <si>
    <t>- 156</t>
  </si>
  <si>
    <t>Hµng hãa</t>
  </si>
  <si>
    <t>- Nguyªn t¾c ®¸nh gi¸ hµng tån kho: Hµng tån kho ®­îc tÝnh theo gi¸ gèc. Tr­êng hîp cã gi¸ trÞ thuÇn cã thÓ thùc hiÖn ®­îc thÊp h¬n gi¸ gèc th× ph¶i tÝnh theo gi¸ trÞ thuÇn cã thÓ thùc hiÖn ®­îc. Gi¸ gèc hµng tån kho bao gåm chi phÝ mua, chi phÝ chÕ biÕn vµ c¸c chi phÝ liªn quan trùc tiÕp kh¸c ph¸t sinh ®Ó cã ®­îc hµng tån kho ë ®Þa ®iÓm vµ tr¹ng th¸i hiÖn t¹i.</t>
  </si>
  <si>
    <t>3. Nguyªn t¾c ghi nhËn vµ khÊu hao tµi s¶n cè ®Þnh</t>
  </si>
  <si>
    <t>4. Nguyªn t¾c ghi nhËn vµ khÊu hao bÊt ®éng s¶n ®Çu t­</t>
  </si>
  <si>
    <t>- Nguyªn t¾c ghi nhËn bÊt ®éng s¶n ®Çu t­: BÊt ®éng s¶n ®Çu t­ ®­îc ghi theo gi¸ gèc. Trong qu¸ tr×nh sö dông bÊt ®éng s¶n ®Çu t­ ®­îc ph¶n ¸nh theo nguyªn gi¸, hao mßn luü kÕ vµ gi¸ trÞ cßn l¹i.</t>
  </si>
  <si>
    <t xml:space="preserve">                                Ngµy 20 th¸ng 7 n¨m 2006</t>
  </si>
  <si>
    <t>- Ph­¬ng ph¸p khÊu hao bÊt ®éng s¶n ®Çu t­: khÊu hao ®­îc trÝch lËp theo ph­¬ng ph¸p ®­êng th¼ng. Thêi gian khÊu hao ®­îc tÝnh theo QuyÕt ®Þnh 206/2003/Q§-BTC ngµy 12 th¸ng 12 n¨m 2003 ®èi víi tõng nhãm bÊt ®éng s¶n ®Çu t­.</t>
  </si>
  <si>
    <t>- Nguyªn t¾c ghi nhËn TSC§ h÷u h×nh, TSC§ v« h×nh, TSC§ thuª tµi chÝnh: Tµi s¶n cè ®Þnh ®­îc ghi theo gi¸ gèc. Trong qu¸ tr×nh sö dông, tµi s¶n cè ®Þnh ®­îc ph¶n ¸nh theo nguyªn gi¸, hao mßn luü kÕ vµ gi¸ trÞ cßn l¹i.</t>
  </si>
  <si>
    <t>5. Nguyªn t¾c ghi nhËn c¸c kho¶n ®Çu t­ tµi chÝnh:</t>
  </si>
  <si>
    <t>- C¸c kho¶n ®Çu t­ vµo c«ng ty con, c«ng ty liªn kÕt, gãp vèn vµo c¬ së kinh doanh ®ång kiÓm so¸t: theo H§ liªn doanh, liªn kÕt.</t>
  </si>
  <si>
    <t xml:space="preserve">6. Nguyªn t¾c ghi nhËn vµ vèn ho¸ c¸c kho¶n chi phÝ ®i vay ®­îc vèn ho¸ trong kú; </t>
  </si>
  <si>
    <t>7. Nguyªn t¾c ghi nhËn vµ vèn ho¸ c¸c kho¶n chi phÝ kh¸c:</t>
  </si>
  <si>
    <t>- Ph­¬ng ph¸p vµ thêi gian ph©n bæ lîi thÕ th­¬ng m¹i: kh«ng ph¸t sinh</t>
  </si>
  <si>
    <t>- Chi phÝ tr¶ tr­íc:</t>
  </si>
  <si>
    <t>- Chi phÝ kh¸c:</t>
  </si>
  <si>
    <t>8. Nguyªn t¾c ghi nhËn chi phÝ ph¶i tr¶.</t>
  </si>
  <si>
    <t>Ph¶i tr¶ cho ng­êi b¸n-VNC SG</t>
  </si>
  <si>
    <t>- 333</t>
  </si>
  <si>
    <t>ThuÕ vµ c¸c kho¶n ph¶i nép Nhµ n­íc</t>
  </si>
  <si>
    <t>- 3331</t>
  </si>
  <si>
    <t>ThuÕ GTGT ph¶i nép</t>
  </si>
  <si>
    <t>- 33311</t>
  </si>
  <si>
    <t>ThuÕ GTGT ®Çu ra ph¶i nép</t>
  </si>
  <si>
    <t>3331103</t>
  </si>
  <si>
    <t>ThuÕ GTGT ®Çu ra ph¶i nép-VNF SG</t>
  </si>
  <si>
    <t>- 33312</t>
  </si>
  <si>
    <t>ThuÕ GTGT hµng nhËp khÈu-VNC SG</t>
  </si>
  <si>
    <t>3331203</t>
  </si>
  <si>
    <t>ThuÕ GTGT hµng nhËp khÈu-VNC SG-VNC SG</t>
  </si>
  <si>
    <t>- 3334</t>
  </si>
  <si>
    <t>X¸c ®Þnh kÕt qu¶ kinh doanh - Than côc</t>
  </si>
  <si>
    <t>9110313</t>
  </si>
  <si>
    <t>X¸c ®Þnh  KQKD - Giao nhËn NH3</t>
  </si>
  <si>
    <t>9110314</t>
  </si>
  <si>
    <t>X¸c ®Þnh KQKD - CaCO3</t>
  </si>
  <si>
    <t>9110316</t>
  </si>
  <si>
    <t>X¸c ®Þnh KQKD - Lµm bét ®¸ Hµ Nam</t>
  </si>
  <si>
    <t>- 911033</t>
  </si>
  <si>
    <t>X§KQKD dÞch vô</t>
  </si>
  <si>
    <t>9110331</t>
  </si>
  <si>
    <t>X¸c ®Þnh kÕt qu¶ kinh doanh -  §éi xe cont</t>
  </si>
  <si>
    <t>9110332</t>
  </si>
  <si>
    <t>X¸c ®Þnh KQKD - VËn t¶i, m«i giíi</t>
  </si>
  <si>
    <t>9110335</t>
  </si>
  <si>
    <t>- Nguyªn t¾c ghi nhËn TSC§ h÷u h×nh, TSC§ v« h×nh: Tµi s¶n cè ®Þnh ®­îc ghi theo gi¸ gèc. Trong qu¸ tr×nh sö dông, tµi s¶n cè ®Þnh ®­îc ph¶n ¸nh theo nguyªn gi¸, hao mßn luü kÕ vµ gi¸ trÞ cßn l¹i.</t>
  </si>
  <si>
    <t>Ghi chú:</t>
  </si>
  <si>
    <t>BÁO CÁO KẾT QUẢ HOẠT ĐỘNG KINH DOANH GIỮA NIÊN ĐỘ</t>
  </si>
  <si>
    <t>Quý II năm 2006</t>
  </si>
  <si>
    <t xml:space="preserve"> (*) Chỉ tiêu này chỉ áp dụng đối với công ty cổ phần </t>
  </si>
  <si>
    <t>§Çu t­ CK DH: Cæ phiÕu</t>
  </si>
  <si>
    <t>2212</t>
  </si>
  <si>
    <t>§Çu t­ CK DH: Tr¸i phiÕu</t>
  </si>
  <si>
    <t>Gãp vèn liªn doanh</t>
  </si>
  <si>
    <t>228</t>
  </si>
  <si>
    <t>§Çu t­ dµi h¹n kh¸c</t>
  </si>
  <si>
    <t>229</t>
  </si>
  <si>
    <t>Dù phßng gi¶m gi¸ ®Çu t­ dµi h¹n</t>
  </si>
  <si>
    <t>- 241</t>
  </si>
  <si>
    <t>X©y dùng c¬ b¶n dë dang</t>
  </si>
  <si>
    <t>2411</t>
  </si>
  <si>
    <t>XDCB dë dang: Mua s¾m TSC§</t>
  </si>
  <si>
    <t>2412</t>
  </si>
  <si>
    <t>XDCB dë dang: X©y dùng c¬ b¶n</t>
  </si>
  <si>
    <t>2413</t>
  </si>
  <si>
    <t>XDCB dë dang: Söa ch÷a lín TSC§</t>
  </si>
  <si>
    <t>- 242</t>
  </si>
  <si>
    <t>Chi phÝ tr¶ tr­íc dµi h¹n</t>
  </si>
  <si>
    <t>24203</t>
  </si>
  <si>
    <t>Chi phÝ tr¶ tr­íc dµi h¹n-VNC SG</t>
  </si>
  <si>
    <t>- 244</t>
  </si>
  <si>
    <t>X¸c ®Þnh KQKD - DÞch vô Taray</t>
  </si>
  <si>
    <t>9110336</t>
  </si>
  <si>
    <t>X¸c ®Þnh KQKD - Bé phËn qu¶n lý</t>
  </si>
  <si>
    <t>9110337</t>
  </si>
  <si>
    <t>X¸c ®Þnh KQKD - DVVC CaCO3 YB</t>
  </si>
  <si>
    <t>9110339</t>
  </si>
  <si>
    <t>X¸c ®Þnh KQKD - Giao nhËn  kh¸c</t>
  </si>
  <si>
    <t>N001</t>
  </si>
  <si>
    <t>Tµi s¶n thuª ngoµi</t>
  </si>
  <si>
    <t>N002</t>
  </si>
  <si>
    <t>Vt­ h.hãa gi÷ hé, nhËn gia c«ng</t>
  </si>
  <si>
    <t>N003</t>
  </si>
  <si>
    <t>Hµng hãa nhËn b¸n hé, ký göi</t>
  </si>
  <si>
    <t>N004</t>
  </si>
  <si>
    <t>Nî khã ®ßi ®· xö lý</t>
  </si>
  <si>
    <t>N007</t>
  </si>
  <si>
    <t>Ngo¹i tÖ c¸c lo¹i</t>
  </si>
  <si>
    <t>- N008</t>
  </si>
  <si>
    <t>H¹n møc kinh phÝ</t>
  </si>
  <si>
    <t>N0081</t>
  </si>
  <si>
    <t>H¹n møc kinh phÝ thuéc N_S¸ch TW</t>
  </si>
  <si>
    <t>N009</t>
  </si>
  <si>
    <t>Nguån vèn khÊu hao c¬ b¶n</t>
  </si>
  <si>
    <t>411</t>
  </si>
  <si>
    <t>1</t>
  </si>
  <si>
    <t>2</t>
  </si>
  <si>
    <t>3</t>
  </si>
  <si>
    <t>4</t>
  </si>
  <si>
    <t>5</t>
  </si>
  <si>
    <t xml:space="preserve">I. §Æc ®iÓm ho¹t ®éng cña doanh nghiÖp </t>
  </si>
  <si>
    <t>II. Niªn ®é kÕ to¸n, ®¬n vÞ tiÒn tÖ sö dông trong kÕ to¸n</t>
  </si>
  <si>
    <t>1. Niªn ®é kÕ to¸n ( b¾t ®Çu tõ ngµy 01/01/ kÕt thóc vµo ngµy 31/12 hµng n¨m )</t>
  </si>
  <si>
    <t xml:space="preserve">2. §¬n vÞ tiÒn tÖ sö dông trong kÕ to¸n: lµ ®ång ViÖt Nam  </t>
  </si>
  <si>
    <t>III. ChÕ ®é kÕ to¸n ¸p dông</t>
  </si>
  <si>
    <t>1. ChÕ ®é kÕ to¸n ¸p dông</t>
  </si>
  <si>
    <t xml:space="preserve">   </t>
  </si>
  <si>
    <t>2. H×nh thøc sæ kÕ to¸n ¸p dông: NhËt ký chøng tõ</t>
  </si>
  <si>
    <t>IV. Tuyªn bè vÒ viÖc tu©n thñ ChuÈn mùc kÕ to¸n vµ ChÕ ®é kÕ to¸n ViÖt Nam</t>
  </si>
  <si>
    <t xml:space="preserve">   B¸o c¸o Tµi chÝnh ®­îc lËp vµ tr×nh bÇy phï hîp víi c¸c chuÈn mùc vµ chÕ ®é kÕ to¸n ViÖt Nam.</t>
  </si>
  <si>
    <t>V. C¸c chÝnh s¸ch kÕ to¸n ¸p dông</t>
  </si>
  <si>
    <t>1. Nguyªn t¾c x¸c ®Þnh c¸c kho¶n tiÒn: tiÒn mÆt, tiÒn göi ng©n hµng, tiÒn ®ang chuyÓn gåm:</t>
  </si>
  <si>
    <t xml:space="preserve">- Nguyªn t¾c x¸c ®Þnh c¸c kho¶n t­¬ng ®­¬ng tiÒn: c¸c kho¶n t­¬ng ®­¬ng tiÒn nh­ vµng, b¹c, kim khÝ quý, ®¸ quý ph¶i theo dâi sè l­îng, träng l­îng, quy c¸ch phÈm chÊt vµ gi¸ trÞ cña tõng thø, tõng lo¹i. Gi¸ trÞ vµng, b¹c, kim khÝ quý, ®¸ quý ®­îc tÝnh theo gi¸ thùc tÕ ®­îc thanh to¸n. Khi tÝnh gi¸ xuÊt cña vµng, b¹c, kim khÝ quý, ®¸ quý ®­îc ¸p dông ph­¬ng ph¸p b×nh qu©n gia quyÒn. </t>
  </si>
  <si>
    <t>- Nguyªn t¾c vµ ph­¬ng ph¸p chuyÓn ®æi c¸c ®ång tiÒn kh¸c ra ®ång tiÒn sö dông trong kÕ to¸n.</t>
  </si>
  <si>
    <t>2. ChÝnh s¸ch kÕ to¸n ®èi víi hµng tån kho</t>
  </si>
  <si>
    <t>- Nguyªn t¾c ®¸nh gi¸ hµng tån kho: Theo gi¸ gèc</t>
  </si>
  <si>
    <t xml:space="preserve">- Ph­¬ng ph¸p x¸c ®Þnh hµng tån kho cuèi kú: B×nh qu©n gia quyÒn </t>
  </si>
  <si>
    <t>- Ph­¬ng ph¸p h¹ch to¸n hµng tån kho: Kª khai th­êng xuyªn</t>
  </si>
  <si>
    <t>- LËp dù phßng gi¶m gi¸ hµng tån kho: vµo cuèi niªn ®é kÕ to¸n khi cã nh÷ng b»ng chøng tin cËy vÒ sù gi¶m gi¸ th­êng xuyªn, liªn tôc hµng tån kho cña doanh nghiÖp.</t>
  </si>
  <si>
    <t>3. Nguyªn t¾c ghi nhËn c¸c kho¶n ph¶i thu th­¬ng m¹i vµ ph¶i thu kh¸c</t>
  </si>
  <si>
    <t>N¨m 2005</t>
  </si>
  <si>
    <t>nay</t>
  </si>
  <si>
    <t>b¶n thuyÕt minh b¸o c¸o tµi chÝnh</t>
  </si>
  <si>
    <t xml:space="preserve">C«ng ty cæ phÇn vinafco </t>
  </si>
  <si>
    <t xml:space="preserve">    Bé giao th«ng vËn t¶I</t>
  </si>
  <si>
    <t xml:space="preserve">  §Þa chØ: 36 Ph¹m Hïng - Tõ Liªm - Hµ Néi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</si>
  <si>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</si>
  <si>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</si>
  <si>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</si>
  <si>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</si>
  <si>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</si>
  <si>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</si>
  <si>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</si>
  <si>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</si>
  <si>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</si>
  <si>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</si>
  <si>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</si>
  <si>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BÁO CÁO TÀI CHÍNH TÓM TẮT</t>
  </si>
  <si>
    <t>QUÝ II NĂM 2006</t>
  </si>
  <si>
    <t>STT</t>
  </si>
  <si>
    <t>Nội dung</t>
  </si>
  <si>
    <t>Số dư đầu kỳ</t>
  </si>
  <si>
    <t>Số dư cuối kỳ</t>
  </si>
  <si>
    <t>I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</si>
  <si>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</si>
  <si>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</si>
  <si>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</si>
  <si>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</si>
  <si>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</si>
  <si>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</si>
  <si>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Các khoản phải thu dài hạn</t>
  </si>
  <si>
    <t>Tài sản cố định</t>
  </si>
  <si>
    <t>Bất động sản đầu tư</t>
  </si>
  <si>
    <t>Tài sản dài hạn khác</t>
  </si>
  <si>
    <t>III</t>
  </si>
  <si>
    <t>IV</t>
  </si>
  <si>
    <t>Nợ ngắn hạn</t>
  </si>
  <si>
    <t>Nợ dài hạn</t>
  </si>
  <si>
    <t>V</t>
  </si>
  <si>
    <t>Nguồn vốn chủ sở hữu</t>
  </si>
  <si>
    <t>Vốn chủ sở hữu</t>
  </si>
  <si>
    <t xml:space="preserve">        -Vốn đầu tư của chủ sở hữu</t>
  </si>
  <si>
    <t xml:space="preserve">        -Thặng dư vốn cổ phần</t>
  </si>
  <si>
    <t xml:space="preserve">        - Cổ phiếu quỹ</t>
  </si>
  <si>
    <t xml:space="preserve">        - Các quỹ</t>
  </si>
  <si>
    <t xml:space="preserve">        - Lợi nhuận sau thuế chưa phân phối</t>
  </si>
  <si>
    <t>Nguồn kinh phí và quỹ khác</t>
  </si>
  <si>
    <t>Lũy kế</t>
  </si>
  <si>
    <t>Doanh thu bán hàng và cung cấp dịch vụ</t>
  </si>
  <si>
    <t>Các khoản giảm trừ</t>
  </si>
  <si>
    <t>Giá vốn hàng bán</t>
  </si>
  <si>
    <t>Lợi nhuận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</si>
  <si>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</si>
  <si>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</si>
  <si>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</si>
  <si>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</si>
  <si>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</si>
  <si>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</si>
  <si>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</si>
  <si>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</si>
  <si>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Cổ tức trên mỗi cổ phiếu</t>
  </si>
  <si>
    <t>Tổng Giám Đốc</t>
  </si>
  <si>
    <t>Các khoản đầu tư tài chính dài hạn</t>
  </si>
  <si>
    <t>TÀI SẢN NGẮN HẠN</t>
  </si>
  <si>
    <t>B</t>
  </si>
  <si>
    <t>TÀI SẢN DÀI HẠN</t>
  </si>
  <si>
    <t>TỔNG CỘNG TÀI SẢN</t>
  </si>
  <si>
    <t>NGUỒN VỐN</t>
  </si>
  <si>
    <t>TỔNG CỘNG NGUỒN VỐN</t>
  </si>
  <si>
    <t xml:space="preserve">PHẦN I: BẢNG CÂN ĐỐI KẾ TOÁN </t>
  </si>
  <si>
    <t>Đơn vị: đồng</t>
  </si>
  <si>
    <t>Số dư đầu năm</t>
  </si>
  <si>
    <t xml:space="preserve">PHẦN II - KẾT QUẢ HOẠT ĐỘNG SẢN XUẤT KINH DOANH </t>
  </si>
  <si>
    <t xml:space="preserve">Lợi nhuận sau thuế TNDN </t>
  </si>
  <si>
    <t>VŨ ĐÌNH QUANG</t>
  </si>
  <si>
    <t>* Chưa bao gồm khoản thuế thu nhập được giảm trừ  do niêm yết lần đầu tại TT GDCK Thành phố Hồ Chí Minh.</t>
  </si>
  <si>
    <t xml:space="preserve">*  Lợi nhuận sau thuế chưa bao gồm lãi được chia 6 tháng năm 2006 từ Liên doanh Draco: 2,4 tỷ </t>
  </si>
  <si>
    <t>Ngày 20 tháng 07 năm 2006</t>
  </si>
  <si>
    <t xml:space="preserve">                    Mẫu CBTT - 03</t>
  </si>
  <si>
    <t xml:space="preserve">             (Ký, họ tên)                              (Ký, họ tên) </t>
  </si>
  <si>
    <t>A - TÀI SẢN NGẮN HẠN                                                  ( 100 = 110 + 120 + 130 + 140 + 150 )</t>
  </si>
  <si>
    <t xml:space="preserve">                          ngày 20/3/2006 của Bộ trưởng Bộ Tài chính </t>
  </si>
  <si>
    <t xml:space="preserve">                                  Ban hành theo QĐ số 15/2006/QĐ-BTC </t>
  </si>
  <si>
    <t xml:space="preserve">                          Mẫu số B 01a - DN  </t>
  </si>
  <si>
    <t xml:space="preserve">                                                                  Ban hành theo QĐ số 15/2006/QĐ-BTC </t>
  </si>
  <si>
    <t xml:space="preserve">                                                Mẫu số B 02a - DN</t>
  </si>
  <si>
    <t>- Nguyªn t¾c ghi nhËn nguyªn gi¸ TSC§ thuª tµi chÝnh: Tµi s¶n cè ®Þnh ®­îc ghi theo gi¸ gèc. Trong qu¸ tr×nh sö dông, tµi s¶n cè ®Þnh ®­îc ph¶n ¸nh theo nguyªn gi¸, hao mßn luü kÕ vµ gi¸ trÞ cßn l¹i.</t>
  </si>
  <si>
    <t>- Ph­¬ng ph¸p khÊu hao TSC§ thuª tµi chÝnh: khÊu hao ®­îc trÝch lËp theo ph­¬ng ph¸p ®­êng th¼ng. Thêi gian khÊu hao ®­îc tÝnh theo QuyÕt ®Þnh 206/2003/Q§-BTC ngµy 12 th¸ng 12 n¨m 2003 ®èi víi tõng nhãm tµi s¶n cè ®Þnh .</t>
  </si>
  <si>
    <t>7. Ghi nhËn vµ khÊu hao bÊt ®éng s¶n ®Çu t­</t>
  </si>
  <si>
    <t>- Nguyªn t¾c ghi nhËn bÊt ®éng s¶n ®Çu t­: kh«ng ph¸t sinh</t>
  </si>
  <si>
    <t>- Nguyªn t¾c vµ ph­¬ng ph¸p khÊu hao bÊt ®éng s¶n ®Çu t­: kh«ng ph¸t sinh</t>
  </si>
  <si>
    <t xml:space="preserve">8. Nguyªn t¾c vèn ho¸ c¸c kho¶n chi phÝ ®i vay vµ c¸c kho¶n chi phÝ kh¸c </t>
  </si>
  <si>
    <t>- Nguyªn t¾c vèn ho¸ c¸c kho¶n chi phÝ ®i vay: kh«ng ph¸t sinh</t>
  </si>
  <si>
    <t>- Tû lÖ vèn ho¸ chi phÝ ®i vay ®­îc sö dông ®Ó x¸c ®Þnh chi phÝ ®i vay ®­îc vèn ho¸ trong kú: kh«ng ph¸t sinh</t>
  </si>
  <si>
    <t>- Nguyªn t¾c vèn ho¸ c¸c kho¶n chi phÝ kh¸c:</t>
  </si>
  <si>
    <t>+ Chi phÝ tr¶ tr­íc:</t>
  </si>
  <si>
    <t>+ Chi phÝ kh¸c:</t>
  </si>
  <si>
    <t>- Ph­¬ng ph¸p ph©n bæ chi phÝ tr¶ tr­íc: kh«ng ph¸t sinh</t>
  </si>
  <si>
    <t>- Ph­¬ng ph¸p ph©n bæ lîi thÕ th­¬ng m¹i: kh«ng ph¸t sinh</t>
  </si>
  <si>
    <t>9. Nguyªn t¾c kÕ to¸n chi phÝ nghiªn cøu vµ triÓn khai: kh«ng ph¸t sinh</t>
  </si>
  <si>
    <t>10. KÕ to¸n c¸c kho¶n ®Çu t­ tµi chÝnh</t>
  </si>
  <si>
    <t>- Nguyªn t¾c ghi nhËn c¸c kho¶n ®Çu t­ vµo c«ng ty con, c«ng ty liªn kÕt: kh«ng ph¸t sinh</t>
  </si>
  <si>
    <t>- Nguyªn t¾c ghi nhËn c¸c kho¶n ®Çu t­ chøng kho¸n ng¾n h¹n, dµi h¹n: kh«ng ph¸t sinh</t>
  </si>
  <si>
    <t>- Nguyªn t¾c ghi nhËn c¸c kho¶n ®Çu t­ ng¾n h¹n, dµi h¹n kh¸c: kh«ng ph¸t sinh</t>
  </si>
  <si>
    <t>- Ph­¬ng ph¸p lËp dù phßng gi¶m gi¸ ®Çu t­ chøng kho¸n ng¾n h¹n , dµi h¹n: kh«ng ph¸t sinh</t>
  </si>
  <si>
    <t>11. KÕ to¸n c¸c ho¹t ®éng liªn doanh: kh«ng ph¸t sinh</t>
  </si>
  <si>
    <t>Gi¸ gèc hµng tån kho do ®¬n vÞ tù s¶n xuÊt bao gåm chi phÝ nguyªn vËt liÖu trùc tiÕp, chi phÝ nh©n c«ng trùc tiÕp chi phÝ s¶n xuÊt chung biÕn ®æi ph¸t sinh trong qu¸ tr×nh chuyÓn ho¸ nguyªn vËt liÖu thµnh thµnh phÈm.</t>
  </si>
  <si>
    <t>S¶n phÈm dë dang cuèi kú ®­îc ®¸nh gi¸ theo chi phÝ nguyªn vËt liÖu trùc tiÕp. Nh÷ng chi phÝ kh«ng ®­îc tÝnh vµo gi¸ gèc cña hµng  tån kho.</t>
  </si>
  <si>
    <t>- Ph­¬ng ph¸p x¸c ®Þnh hµng tån kho cuèi kú: Gi¸ trÞ hµng tån kho cuèi kú ®­îc x¸c ®Þnh theo ph­¬ng ph¸p b×nh qu©n gia quyÒn.</t>
  </si>
  <si>
    <t>- Ph­¬ng ph¸p h¹ch to¸n hµng tån kho: C«ng ty ¸p dông theo ph­¬ng ph¸p kª khai th­êng xuyªn.</t>
  </si>
  <si>
    <t>- LËp dù phßng gi¶m gi¸ hµng tån kho: Dù phßng gi¶m gi¸ hµng tån kho ®­îc lËp vµo thêi ®iÓm cuèi n¨m lµ sè chªnh lÖch gi÷a gi¸ gèc cña hµng tån kho lín h¬n gi¸ trÞ thuÇn cã thÓ thùc hiÖn ®­îc.</t>
  </si>
  <si>
    <t>- Ph­¬ng ph¸p khÊu hao TSC§ h÷u h×nh, TSC§ v« h×nh: khÊu hao ®­îc trÝch lËp theo ph­¬ng ph¸p ®­êng th¼ng. Thêi gian khÊu hao ®­îc tÝnh theo QuyÕt ®Þnh 206/2003/Q§-BTC ngµy 12 th¸ng 12 n¨m 2003 ®èi víi tõng nhãm tµi s¶n cè ®Þnh.</t>
  </si>
  <si>
    <t>- Nguyªn t¾c vèn ho¸ c¸c kho¶n chi phÝ ®i vay: khi ph¸t sinh c¸c kho¶n l·i vay ®Çu t­ ch­a ®i vµo ho¹t ®éng</t>
  </si>
  <si>
    <t>- Tû lÖ vèn ho¸ chi phÝ ®i vay ®­îc sö dông ®Ó x¸c ®Þnh chi phÝ ®i vay ®­îc vèn ho¸ trong kú</t>
  </si>
  <si>
    <t>- Nguyªn t¾c ghi nhËn c¸c kho¶n ®Çu t­ ng¾n h¹n, dµi h¹n kh¸c: theo chuÈn mùc kÕ to¸n</t>
  </si>
  <si>
    <t>- Ph­¬ng ph¸p lËp dù phßng gi¶m gi¸ ®Çu t­ chøng kho¸n ng¾n h¹n, dµi h¹n: kh«ng ph¸t sinh</t>
  </si>
  <si>
    <t>- Nguyªn t¾c kÕ to¸n ho¹t ®éng liªn doanh d­íi h×nh thøc: ho¹t ®éng kinh doanh ®ång kiÓm so¸t vµ tµi s¶n ®ång kiÓm so¸t; c¬ së kinh doanh ®ång kiÓm so¸t.</t>
  </si>
  <si>
    <t>V. C¸c sù kiÖn hoÆc giao dÞch träng yÕu trong kú kÕ to¸n gi÷a niªn ®é.</t>
  </si>
  <si>
    <t>VP</t>
  </si>
  <si>
    <t>BiÓn</t>
  </si>
  <si>
    <t>TT</t>
  </si>
  <si>
    <t>ThÐp</t>
  </si>
  <si>
    <t>TV</t>
  </si>
  <si>
    <t>SG</t>
  </si>
  <si>
    <t xml:space="preserve">2. C¸c kho¶n ®Çu t­ tµi chÝnh ng¾n h¹n </t>
  </si>
  <si>
    <t>- Chøng kho¸n ®Çu t­ ng¾n h¹n</t>
  </si>
  <si>
    <t>- §Çu t­ ng¾n h¹n kh¸c</t>
  </si>
  <si>
    <t>- Dù phßng gi¶m gi¸ ®Çu t­ ng¾n h¹n</t>
  </si>
  <si>
    <t>3. C¸c kho¶n ph¶i thu ng¾n h¹n kh¸c</t>
  </si>
  <si>
    <t>4. Hµng tån kho</t>
  </si>
  <si>
    <t>5. ThuÕ vµ c¸c kho¶n thuÕ ph¶i thu Nhµ n­íc</t>
  </si>
  <si>
    <t>6. Ph¶i thu dµi h¹n néi bé</t>
  </si>
  <si>
    <t>- Cho vay dµi h¹n néi bé</t>
  </si>
  <si>
    <t>- Ph¶i thu dµi h¹n néi bé kh¸c</t>
  </si>
  <si>
    <t>7. Ph¶i thu dµi h¹n kh¸c</t>
  </si>
  <si>
    <t>- Ký quü, ký c­îc dµi h¹n</t>
  </si>
  <si>
    <t>- C¸c kho¶n tiÒn nhËn uû th¸c</t>
  </si>
  <si>
    <t>- Cho vay kh«ng cã l·i</t>
  </si>
  <si>
    <t>8. T¨ng, gi¶m tµi s¶n cè ®Þnh h÷u h×nh:</t>
  </si>
  <si>
    <t>§¬n vÞ: ®ång</t>
  </si>
  <si>
    <t>Nhµ cöa</t>
  </si>
  <si>
    <t>9. T¨ng, gi¶m tµi s¶n cè ®Þnh thuª tµi chÝnh:</t>
  </si>
  <si>
    <t>10. T¨ng, gi¶m tµi s¶n cè ®Þnh v« h×nh</t>
  </si>
  <si>
    <t>QuyÒn</t>
  </si>
  <si>
    <t>Trang Web</t>
  </si>
  <si>
    <t xml:space="preserve">TSC§ VH </t>
  </si>
  <si>
    <t>Tµi s¶n</t>
  </si>
  <si>
    <t>sö ®ông ®Êt</t>
  </si>
  <si>
    <t>kh¸c</t>
  </si>
  <si>
    <t>VH</t>
  </si>
  <si>
    <t>Nguyªn gi¸ TSC§ v« h×nh</t>
  </si>
  <si>
    <t>Gi¸ trÞ cßn l¹i cña TSC§ VH</t>
  </si>
  <si>
    <t>11. Chi phÝ x©y dùng c¬ b¶n dë dang</t>
  </si>
  <si>
    <t>14. Chi phÝ tr¶ tr­íc dµi h¹n</t>
  </si>
  <si>
    <t>15. Vay vµ nî ng¾n h¹n</t>
  </si>
  <si>
    <t xml:space="preserve">- Vay ng¾n h¹n </t>
  </si>
  <si>
    <t>- Doanh thu ®­îc x¸c ®Þnh do b¸n hµng ho¸ mua vµo, thùc hiÖn c«ng viÖc ®· tho¶ thuËn theo hîp ®ång trong mét kú hoÆc nhiÒu kú kÕ to¸n nh­ cung cÊp dÞch vô vËn t¶i. Doanh thu b¸n hµng lµ toµn bé sè tiÒn ®· thu ®­îc hoÆc sÏ thu ®­îc tõ viÖc b¸n hµng ho¸, cung cÊp dÞch vô cho kh¸ch hµng, l·i tiÒn göi ng©n hµng vµ c¸c kho¶n chiÕt khÊu thanh to¸n.</t>
  </si>
  <si>
    <t>- Doanh thu ®­îc ghi nhËn khi ®ång thêi tho¶ m·n c¸c ®iÒu kiÖn sau:</t>
  </si>
  <si>
    <t>+ Rñi ro vµ lîi Ých g¾n liÒn víi quyÒn së h÷u hµng ho¸ ®· ®­îc chuyÓn giao cho ng­êi mua. C«ng ty kh«ng cßn n¾m gi÷ quyÒn qu¶n lý hµng ho¸ nh­ ng­êi së h÷u hµng ho¸ hoÆc quyÒn kiÓm so¸t hµng. Doanh thu ®­îc x¸c ®Þnh ch¾c ch¾n. C«ng ty ®· thu ®­îc hoÆc sÏ thu ®­îc lîi Ých kinh tÕ tõ viÖc b¸n hµng. X¸c ®Þnh ®­îc chi phÝ liªn quan ®Õn giao dÞch b¸n hµng.</t>
  </si>
  <si>
    <t>+ Doanh thu cung cÊp dÞch vô ®­îc ghi nhËn khi kÕt qu¶ cña giao dÞch ®ã ®­îc x¸c ®Þnh mét c¸ch ®¸ng tin cËy. Doanh thu ®­îc x¸c ®Þnh t­¬ng ®èi ch¾c ch¾n, cã kh¶ n¨ng thu ®­îc lîi Ých kinh tÕ tõ giao dÞch cung cÊp dÞch vô ®ã. X¸c ®Þnh ®­îc phÇn c«ng viÖc ®· hoµn thµnh vµo ngµy lËp B¶ng c©n ®èi kÕ to¸n, x¸c ®Þnh ®­îc chi phÝ ph¸t sinh cho giao dÞch vµ chi phÝ ®Ó hoµn thµnh dÞch vô ®ã.</t>
  </si>
  <si>
    <t>19. Nguyªn t¾c ghi nhËn doanh thu, chi phÝ hîp ®ång x©y dùng: kh«ng ph¸t sinh</t>
  </si>
  <si>
    <t>Chi phÝ nh©n c«ng trùc tiÕp-VNC SG</t>
  </si>
  <si>
    <t>622031</t>
  </si>
  <si>
    <t>Chi phÝ nh©n c«ng trùc tiÕp - §éi xe cont</t>
  </si>
  <si>
    <t>- 627</t>
  </si>
  <si>
    <t>Chi phÝ s¶n xuÊt chung</t>
  </si>
  <si>
    <t>- 6271</t>
  </si>
  <si>
    <t>Chi phÝ s¶n xuÊt chung - §éi xe cont</t>
  </si>
  <si>
    <t>6271031</t>
  </si>
  <si>
    <t>Chi phÝ nh©n viªn b¶o tr× - §éi xe cont</t>
  </si>
  <si>
    <t>- 6272</t>
  </si>
  <si>
    <t>Chi phÝ vËt liÖu</t>
  </si>
  <si>
    <t>6272031</t>
  </si>
  <si>
    <t>Chi phÝ vËt liÖu - §éi xe cont</t>
  </si>
  <si>
    <t>- 6273</t>
  </si>
  <si>
    <t>Chi phÝ c«ng cô s¶n xuÊt, SC lín</t>
  </si>
  <si>
    <t>6273031</t>
  </si>
  <si>
    <t>Chi phÝ c«ng cô dông cô - §éi xe cont</t>
  </si>
  <si>
    <t>- 6274</t>
  </si>
  <si>
    <t>Chi phÝ khÊu hao TSC§</t>
  </si>
  <si>
    <t>6274031</t>
  </si>
  <si>
    <t>Chi phÝ khÊu hao TSC§ - §éi xe cont</t>
  </si>
  <si>
    <t>6274032</t>
  </si>
  <si>
    <t>TrÝch tr­íc CP söa ch÷a lín TSC§ - §éi xe cont</t>
  </si>
  <si>
    <t>- 6277</t>
  </si>
  <si>
    <t>Chi phÝ dÞch vô mua ngoµi</t>
  </si>
  <si>
    <t>6277031</t>
  </si>
  <si>
    <t>Chi phÝ dÞch vô mua ngoµi, SC nhá - §éi xe cont</t>
  </si>
  <si>
    <t>- 6278</t>
  </si>
  <si>
    <t>Chi phÝ b»ng tiÒn kh¸c</t>
  </si>
  <si>
    <t>6278031</t>
  </si>
  <si>
    <t>Chi phÝ b»ng tiÒn kh¸c - §éi xe cont</t>
  </si>
  <si>
    <t>- 632</t>
  </si>
  <si>
    <t>Gi¸ vèn hµng b¸n</t>
  </si>
  <si>
    <t>- 63203</t>
  </si>
  <si>
    <t>Gi¸ vèn hµng b¸n cña hµng hãa</t>
  </si>
  <si>
    <t>- 632031</t>
  </si>
  <si>
    <t>6320311</t>
  </si>
  <si>
    <t>Gi¸ vèn hµng b¸n cña hµng hãa - Than ®¸</t>
  </si>
  <si>
    <t>6320313</t>
  </si>
  <si>
    <t>Gi¸ vèn hµng b¸n lÎ cña hµng hãa - NH3</t>
  </si>
  <si>
    <t>6320314</t>
  </si>
  <si>
    <t>Gi¸ vèn hµng b¸n cña hµng hãa - CaCO3 YB</t>
  </si>
  <si>
    <t>6320316</t>
  </si>
  <si>
    <t>Gi¸ vèn hµng b¸n cña hµng hãa - CaCO3 HN</t>
  </si>
  <si>
    <t>- 632033</t>
  </si>
  <si>
    <t>Gi¸ vèn hµng b¸n dÞch vô</t>
  </si>
  <si>
    <t>6320331</t>
  </si>
  <si>
    <t>Gi¸ vèn hµng b¸n - §éi xe cont</t>
  </si>
  <si>
    <t>6320337</t>
  </si>
  <si>
    <t>Gi¸ vèn hµng b¸n - DVVC CaCO3 YB</t>
  </si>
  <si>
    <t>- 635</t>
  </si>
  <si>
    <t>Chi phÝ tµi chÝnh</t>
  </si>
  <si>
    <t>63503</t>
  </si>
  <si>
    <t>Chi phÝ tµi chÝnh-VNC SG</t>
  </si>
  <si>
    <t>- 641</t>
  </si>
  <si>
    <t>Chi phÝ b¸n hµng</t>
  </si>
  <si>
    <t>- 6412</t>
  </si>
  <si>
    <t>Chi phÝ bèc xÕp, giao nhËn</t>
  </si>
  <si>
    <t>- 641203</t>
  </si>
  <si>
    <t>Chi phÝ bèc xÕp, giao nhËn-VNC SG</t>
  </si>
  <si>
    <t>Năm trước</t>
  </si>
  <si>
    <t>Tài sản</t>
  </si>
  <si>
    <t>Chỉ tiêu</t>
  </si>
  <si>
    <t>Số cuối quý</t>
  </si>
  <si>
    <t xml:space="preserve">Tổng Giám đốc </t>
  </si>
  <si>
    <t>9. Nguyªn t¾c vµ ph­¬ng ph¸p ghi nhËn c¸c kho¶n dù phßng ph¶i tr¶.</t>
  </si>
  <si>
    <t>3. Nh÷ng th«ng tin kh¸c.</t>
  </si>
  <si>
    <t>(Ký, hä tªn)</t>
  </si>
  <si>
    <t>(Ký, hä tªn, ®ãng dÊu)</t>
  </si>
  <si>
    <t>+ Hµng b¸n bÞ tr¶ l¹i</t>
  </si>
  <si>
    <t>- ThuÕ TNDN ph¶i nép</t>
  </si>
  <si>
    <t xml:space="preserve">- Lîi nhuËn sau thuÕ </t>
  </si>
  <si>
    <t>4 = 1+2+3</t>
  </si>
  <si>
    <t>Chi phÝ qu¶n lý b»ng tiÒn kh¸c</t>
  </si>
  <si>
    <t>- 6429</t>
  </si>
  <si>
    <t>Chi phÝ qu¶n lý doanh nghiÖp - VP §¹i diÖn HP</t>
  </si>
  <si>
    <t>642903</t>
  </si>
  <si>
    <t>Chi phÝ qu¶n lý  VP §¹i diÖn-VNC SG</t>
  </si>
  <si>
    <t>- 711</t>
  </si>
  <si>
    <t>Thu nhËp kh¸c</t>
  </si>
  <si>
    <t>71103</t>
  </si>
  <si>
    <t>Thu nhËp kh¸c-VNC SG</t>
  </si>
  <si>
    <t>- 811</t>
  </si>
  <si>
    <t>Chi phÝ kh¸c</t>
  </si>
  <si>
    <t>81103</t>
  </si>
  <si>
    <t>Chi phÝ kh¸c-VNC SG</t>
  </si>
  <si>
    <t>- 911</t>
  </si>
  <si>
    <t>X¸c ®Þnh kÕt qu¶ kinh doanh</t>
  </si>
  <si>
    <t>- 91103</t>
  </si>
  <si>
    <t>20. Vay vµ nî dµi h¹n</t>
  </si>
  <si>
    <t>22. Vèn chñ së h÷u</t>
  </si>
  <si>
    <t>a. B¶ng ®èi chiÕu biÕn ®éng cña vèn chñ së h÷u</t>
  </si>
  <si>
    <t>a. Vay dµi h¹n</t>
  </si>
  <si>
    <t>b. Nî dµi h¹n</t>
  </si>
  <si>
    <t>- Nguyªn t¾c x¸c ®Þnh kho¶n ph¶i tr¶ theo tiÕn ®é kÕ ho¹ch hîp ®ång x©y dùng: kh«ng ph¸t sinh</t>
  </si>
  <si>
    <t>5. Ghi nhËn vµ khÊu hao tµi s¶n cè ®Þnh</t>
  </si>
  <si>
    <t xml:space="preserve">  4. Tài sản ngắn hạn khác </t>
  </si>
  <si>
    <t xml:space="preserve"> I. Các khoản phải thu dài hạn </t>
  </si>
  <si>
    <t xml:space="preserve">  1. Phải thu dài hạn của khách hàng </t>
  </si>
  <si>
    <t xml:space="preserve">  2. Vốn kinh doanh ở đơn vị trực thuộc </t>
  </si>
  <si>
    <t xml:space="preserve">  3. Phải thu dài hạn nội bộ </t>
  </si>
  <si>
    <t xml:space="preserve">  4. Phải thu dài hạn khác </t>
  </si>
  <si>
    <t xml:space="preserve">  5. Dự phòng phải thu dài hạn khó đòi (*) </t>
  </si>
  <si>
    <t xml:space="preserve"> II. Tài sản cố định </t>
  </si>
  <si>
    <t xml:space="preserve">  1. Tài sản cố định hữu hình </t>
  </si>
  <si>
    <t xml:space="preserve">    - Nguyên giá </t>
  </si>
  <si>
    <t xml:space="preserve">  2. Tài sản cố định thuê tài chính </t>
  </si>
  <si>
    <t xml:space="preserve">  3. Tài sản cố định vô hình  </t>
  </si>
  <si>
    <t xml:space="preserve">  4. Chi phí xây dựng cơ bản dở dang  </t>
  </si>
  <si>
    <t xml:space="preserve"> III. Bất động sản đầu tư  </t>
  </si>
  <si>
    <t xml:space="preserve"> IV. Các khoản đầu tư tài chính dài hạn </t>
  </si>
  <si>
    <t xml:space="preserve">  1. Đầu tư vào công ty con </t>
  </si>
  <si>
    <t xml:space="preserve">  2. Đầu tư vào công ty liên kết, liên doanh </t>
  </si>
  <si>
    <t xml:space="preserve">  3. Đầu tư dài hạn khác </t>
  </si>
  <si>
    <t xml:space="preserve">  4. Dự phòng giảm giá đầu tư tài chính dài hạn ( * ) </t>
  </si>
  <si>
    <t xml:space="preserve"> V. Tài sản dài hạn khác </t>
  </si>
  <si>
    <t xml:space="preserve">  1. Chi phí trả trước dài hạn </t>
  </si>
  <si>
    <t xml:space="preserve">  2. Tài sản thuế thu nhập hoãn lại </t>
  </si>
  <si>
    <t xml:space="preserve">  3. Tài sản dài hạn khác </t>
  </si>
  <si>
    <t xml:space="preserve"> TỔNG CỘNG TÀI SẢN ( 270 = 100 + 200 ) </t>
  </si>
  <si>
    <t xml:space="preserve">         NGUỒN VỐN </t>
  </si>
  <si>
    <t>Mã số</t>
  </si>
  <si>
    <t xml:space="preserve"> A - NỢ PHẢI TRẢ ( 300 = 310 + 330 ) </t>
  </si>
  <si>
    <t xml:space="preserve"> I. Nợ ngắn hạn  </t>
  </si>
  <si>
    <t xml:space="preserve">  1. Vay và nợ ngắn hạn </t>
  </si>
  <si>
    <t xml:space="preserve">  2. Phải trả người bán </t>
  </si>
  <si>
    <t xml:space="preserve">  3. Người mua trả tiền trước </t>
  </si>
  <si>
    <t xml:space="preserve">  4. Thuế và các khoản phải nộp Nhà nước </t>
  </si>
  <si>
    <t xml:space="preserve">  5. Phải trả người lao động </t>
  </si>
  <si>
    <t xml:space="preserve">  6. Chi phí phải trả </t>
  </si>
  <si>
    <t xml:space="preserve">  7. Phải trả nội bộ </t>
  </si>
  <si>
    <t xml:space="preserve">  8. Phải trả theo tiến độ kế hoạch hợp đồng xây dựng </t>
  </si>
  <si>
    <t xml:space="preserve">  9. Các khoản phải trả, phải nộp ngắn hạn khác </t>
  </si>
  <si>
    <t xml:space="preserve"> 10. Dự phòng phải trả ngắn hạn </t>
  </si>
  <si>
    <t xml:space="preserve"> II. Nợ dài hạn </t>
  </si>
  <si>
    <t xml:space="preserve">  1. Phải trả dài hạn người bán </t>
  </si>
  <si>
    <t xml:space="preserve">  2. Phải trả dài hạn nội bộ </t>
  </si>
  <si>
    <t xml:space="preserve">  3. Phải trả dài hạn khác </t>
  </si>
  <si>
    <t xml:space="preserve">  4. Vay và nợ dài hạn </t>
  </si>
  <si>
    <t xml:space="preserve">  5. Thuế thu nhập hoãn lại phải trả </t>
  </si>
  <si>
    <t xml:space="preserve">  7. Dự phòng phải trả dài hạn </t>
  </si>
  <si>
    <t xml:space="preserve"> B - VỐN CHỦ SỞ HỮU ( 400 = 410 + 430 ) </t>
  </si>
  <si>
    <t xml:space="preserve">  1. Vốn đầu tư của chủ sở hữu </t>
  </si>
  <si>
    <t xml:space="preserve"> I. Vốn chủ sở hữu </t>
  </si>
  <si>
    <t xml:space="preserve">  2. Thặng dư vốn cổ phần </t>
  </si>
  <si>
    <t xml:space="preserve">  3. Vốn khác của chủ sở hữu </t>
  </si>
  <si>
    <t xml:space="preserve">  4. Cổ phiếu quỹ (*) </t>
  </si>
  <si>
    <t xml:space="preserve">  5. Chênh lệch đánh gía lại tài sản </t>
  </si>
  <si>
    <t xml:space="preserve">  6. Chênh lệch tỷ giá hối đoái </t>
  </si>
  <si>
    <t xml:space="preserve">  7. Quỹ đầu tư phát triển </t>
  </si>
  <si>
    <t xml:space="preserve">  8. Quỹ dự phòng tài chính </t>
  </si>
  <si>
    <t xml:space="preserve">  9. Quỹ khác thuộc vốn chủ sở hữu </t>
  </si>
  <si>
    <t xml:space="preserve"> 10. Lợi nhuận sau thuế chưa phân phối </t>
  </si>
  <si>
    <t xml:space="preserve"> 11. Nguồn vốn đầu tư XDCB </t>
  </si>
  <si>
    <t xml:space="preserve"> II. Nguồn kinh phí và quỹ khác </t>
  </si>
  <si>
    <t xml:space="preserve">  1. Quỹ khen thưởng, phúc lợi </t>
  </si>
  <si>
    <t xml:space="preserve">  2. Nguồn kinh phí </t>
  </si>
  <si>
    <t xml:space="preserve">  3. Nguồn kinh phí đã hình thành TSCĐ </t>
  </si>
  <si>
    <t xml:space="preserve"> TỔNG CỘNG NGUỒN VỐN (440 = 300 + 400) </t>
  </si>
  <si>
    <t xml:space="preserve"> CÁC CHỈ TIÊU NGOÀI BẢNG CÂN ĐỐI KẾ TOÁN </t>
  </si>
  <si>
    <t xml:space="preserve"> CHỈ TIÊU </t>
  </si>
  <si>
    <t xml:space="preserve"> Số cuối quý </t>
  </si>
  <si>
    <t xml:space="preserve">Thuyết minh </t>
  </si>
  <si>
    <t>Số cuối năm</t>
  </si>
  <si>
    <t xml:space="preserve"> 1. Tài sản thuê ngoài </t>
  </si>
  <si>
    <t xml:space="preserve"> 2. Vật tư, hàng hoá nhận giữ hộ, nhận gia công </t>
  </si>
  <si>
    <t xml:space="preserve"> 3. Hàng hoá nhận bán hộ, nhận ký gửi, ký cược </t>
  </si>
  <si>
    <t xml:space="preserve"> 4. Nợ khó đòi đã xử lý </t>
  </si>
  <si>
    <t xml:space="preserve"> 5. Ngoại tệ các loại </t>
  </si>
  <si>
    <t xml:space="preserve"> 6. Dự toán chi sự nghiệp, dự án </t>
  </si>
  <si>
    <t xml:space="preserve">Người lập biểu                   Kế toán trưởng </t>
  </si>
  <si>
    <t xml:space="preserve">   Lập, ngày 20 tháng 7 năm 2006 </t>
  </si>
  <si>
    <t xml:space="preserve">                 (Ký, họ tên, đóng dấu)                  </t>
  </si>
  <si>
    <t>CHỈ TIÊU</t>
  </si>
  <si>
    <t>NĂM TRƯỚC</t>
  </si>
  <si>
    <t>1. Doanh thu bán hàng và cung cấp dịch vụ</t>
  </si>
  <si>
    <t xml:space="preserve">2. Các khoản giảm trừ doanh thu </t>
  </si>
  <si>
    <t xml:space="preserve">3. Doanh thu thuần về bán hàng và cung cấp dịch vụ ( 10 = 01 - 02 ) </t>
  </si>
  <si>
    <t>4. Giá vốn hàng bán</t>
  </si>
  <si>
    <t xml:space="preserve">5. Lợi nhuận gộp về bán hàng và cung cấp dịch vụ ( 20 = 10 - 11) </t>
  </si>
  <si>
    <t>6. Doanh thu hoạt động tài chính</t>
  </si>
  <si>
    <t>7. Chi phí tài chính</t>
  </si>
  <si>
    <t>8. Chi phí bán hàng</t>
  </si>
  <si>
    <t>9. Chi phí quản lý doanh nghiệp</t>
  </si>
  <si>
    <t xml:space="preserve"> - Trong đó: Chi phí lãi vay</t>
  </si>
  <si>
    <t>Ký quü, ký c­îc dµi h¹n</t>
  </si>
  <si>
    <t>24403</t>
  </si>
  <si>
    <t>Thuyết minh</t>
  </si>
  <si>
    <t>Mã sô</t>
  </si>
  <si>
    <t xml:space="preserve">  1. Tiền  </t>
  </si>
  <si>
    <t xml:space="preserve">  1. Hàng tồn kho  </t>
  </si>
  <si>
    <t xml:space="preserve">  2. Dự phòng giảm giá hàng tồn kho  (*)  </t>
  </si>
  <si>
    <t>14. Tổng lợi nhuận kế toán trước thuế ( 50 = 30 + 40 )</t>
  </si>
  <si>
    <t>15. Chi phí thuế TNDN hiện hành</t>
  </si>
  <si>
    <t>16. Chi phí thuế TNDN hoãn lại</t>
  </si>
  <si>
    <t>17. Lợi nhuận sau thuế thu nhập doanh nghiệp ( 60 = 50 - 51 - 52 )</t>
  </si>
  <si>
    <t xml:space="preserve">       - Tài sản cố định hữu hình</t>
  </si>
  <si>
    <t xml:space="preserve">       - Tài sản cố định vô hình</t>
  </si>
  <si>
    <t xml:space="preserve">       - Tài sản cố định thuê tài chính</t>
  </si>
  <si>
    <t xml:space="preserve">       - Chi phí xây dựng cơ bản dở dang</t>
  </si>
  <si>
    <t>NỢ PHẢI TRẢ</t>
  </si>
  <si>
    <t xml:space="preserve">        - Chênh lệch đánh giá lại tài sản</t>
  </si>
  <si>
    <t xml:space="preserve">        - Chênh lệch tỷ giá hối đoái</t>
  </si>
  <si>
    <t xml:space="preserve">        - Nguồn vốn đầu tư XDCB</t>
  </si>
  <si>
    <t xml:space="preserve">        - Quỹ khen thưởng, phúc lợi</t>
  </si>
  <si>
    <t xml:space="preserve">        - Nguồn kinh phí</t>
  </si>
  <si>
    <t xml:space="preserve">        - Nguồn kinh phí đã hình thành TSCĐ</t>
  </si>
  <si>
    <t>Doanh thu thuần về bán hàng và cung cấp dịch vụ</t>
  </si>
  <si>
    <t xml:space="preserve">Tổng lợi nhuận kế toán trước thuế </t>
  </si>
  <si>
    <t>Thuế thu nhập doanh nghiệp</t>
  </si>
  <si>
    <t>Lãi cơ bản trên cổ phiếu</t>
  </si>
  <si>
    <t>18. Lãi cơ bản trên cổ phiếu (*)</t>
  </si>
  <si>
    <t xml:space="preserve">                (Ký, họ tên, đóng dấu)                  </t>
  </si>
  <si>
    <t>Đơn vị tính: đồng</t>
  </si>
  <si>
    <t>Địa chỉ: 36 Phạm Hùng - Từ Liêm - Hà Nội</t>
  </si>
  <si>
    <t xml:space="preserve">    BỘ GIAO THÔNG VẬN TẢI</t>
  </si>
  <si>
    <t>ThuÕ thu nhËp doanh nghiÖp</t>
  </si>
  <si>
    <t>333403</t>
  </si>
  <si>
    <t>ThuÕ thu nhËp doanh nghiÖp-VNC SG</t>
  </si>
  <si>
    <t>- 3338</t>
  </si>
  <si>
    <t>C¸c lo¹i thuÕ kh¸c</t>
  </si>
  <si>
    <t>333803</t>
  </si>
  <si>
    <t>C¸c lo¹i thuÕ kh¸c-VNC SG</t>
  </si>
  <si>
    <t>- 3339</t>
  </si>
  <si>
    <t>PhÝ, lÖ phÝ, c¸c kho¶n ph¶i nép kh¸c</t>
  </si>
  <si>
    <t>333903</t>
  </si>
  <si>
    <t>PhÝ, lÖ phÝ, c¸c kho¶n ph¶i nép kh¸c-VNC SG</t>
  </si>
  <si>
    <t>- 334</t>
  </si>
  <si>
    <t>Ph¶i tr¶ c«ng nh©n viªn</t>
  </si>
  <si>
    <t>33403</t>
  </si>
  <si>
    <t>Ph¶i tr¶ c«ng nh©n viªn-VNC SG</t>
  </si>
  <si>
    <t>- 335</t>
  </si>
  <si>
    <t>Chi phÝ ph¶i tr¶</t>
  </si>
  <si>
    <t>- 3352</t>
  </si>
  <si>
    <t>335203</t>
  </si>
  <si>
    <t>Chi phÝ ph¶i tr¶-VNC SG</t>
  </si>
  <si>
    <t>- 3353</t>
  </si>
  <si>
    <t>Qòy dù phßng trî cÊp mÊt viÖc lµm</t>
  </si>
  <si>
    <t>335303</t>
  </si>
  <si>
    <t>Qòy dù phßng trî cÊp mÊt viÖc lµm-VNC SG</t>
  </si>
  <si>
    <t>- 336</t>
  </si>
  <si>
    <t>Ph¶i tr¶ néi bé</t>
  </si>
  <si>
    <t>33603</t>
  </si>
  <si>
    <t>Ph¶i tr¶ néi bé-VNC SG</t>
  </si>
  <si>
    <t>337</t>
  </si>
  <si>
    <t>Thanh to¸n theo tiÕn ®é kÕ ho¹ch H§ x©y dùng</t>
  </si>
  <si>
    <t>- 338</t>
  </si>
  <si>
    <t>Ph¶i tr¶, ph¶i nép kh¸c</t>
  </si>
  <si>
    <t>3381</t>
  </si>
  <si>
    <t>Tµi s¶n thõa chê gi¶i quyÕt</t>
  </si>
  <si>
    <t>- 3382</t>
  </si>
  <si>
    <t>Kinh phÝ c«ng ®oµn</t>
  </si>
  <si>
    <t>338203</t>
  </si>
  <si>
    <t>Kinh phÝ c«ng ®oµn-VNC SG</t>
  </si>
  <si>
    <t>- 3383</t>
  </si>
  <si>
    <t>B¶o hiÓm x· héi</t>
  </si>
  <si>
    <t>338303</t>
  </si>
  <si>
    <t>B¶o hiÓm x· héi-VNC SG</t>
  </si>
  <si>
    <t>- 3384</t>
  </si>
  <si>
    <t>B¶o hiÓm y tÕ</t>
  </si>
  <si>
    <t>338403</t>
  </si>
  <si>
    <t>B¶o hiÓm y tÕ-VNC SG</t>
  </si>
  <si>
    <t>- 3387</t>
  </si>
  <si>
    <t>Doanh thu ch­a thùc hiÖn</t>
  </si>
  <si>
    <t>338703</t>
  </si>
  <si>
    <t>Doanh thu ch­a thùc hiÖn-VNC SG</t>
  </si>
  <si>
    <t>- 3388</t>
  </si>
  <si>
    <t>- 338803</t>
  </si>
  <si>
    <t>Ph¶i tr¶, ph¶i nép kh¸c-VNC SG</t>
  </si>
  <si>
    <t>3388035</t>
  </si>
  <si>
    <t>Ph¶i tr¶ Taray Int'l Co</t>
  </si>
  <si>
    <t>3388037</t>
  </si>
  <si>
    <t>Ph¶i tr¶, dÞch vô §¹i lý tµu biÓn</t>
  </si>
  <si>
    <t>3388038</t>
  </si>
  <si>
    <t>Ph¶i tr¶, ph¶i nép kh¸c-BiÓn Tar</t>
  </si>
  <si>
    <t>- 341</t>
  </si>
  <si>
    <t>Vay dµi h¹n</t>
  </si>
  <si>
    <t>341031</t>
  </si>
  <si>
    <t>Vay dµi h¹n tiÒn ViÖt Nam</t>
  </si>
  <si>
    <t>341032</t>
  </si>
  <si>
    <t>Vay dµi h¹n tiÒn ngo¹i tÖ</t>
  </si>
  <si>
    <t>- 342</t>
  </si>
  <si>
    <t>Nî dµi h¹n</t>
  </si>
  <si>
    <t>34203</t>
  </si>
  <si>
    <t>Nî dµi h¹n-VNC SG</t>
  </si>
  <si>
    <t>343</t>
  </si>
  <si>
    <t>Tr¸i phiÕu ph¸t hµnh</t>
  </si>
  <si>
    <t>- 344</t>
  </si>
  <si>
    <t>NhËn ký quü, ký cù¬c dµi h¹n</t>
  </si>
  <si>
    <t>34403</t>
  </si>
  <si>
    <t>NhËn ký quü, ký cù¬c dµi h¹n-VNC SG</t>
  </si>
  <si>
    <t>Nguån vèn kinh doanh</t>
  </si>
  <si>
    <t>412</t>
  </si>
  <si>
    <t>Chªnh lÖch ®¸nh gi¸ l¹i tµi s¶n</t>
  </si>
  <si>
    <t>413</t>
  </si>
  <si>
    <t>Chªnh lÖch tû gi¸</t>
  </si>
  <si>
    <t>Quü  ®Çu t­ ph¸t triÓn</t>
  </si>
  <si>
    <t>Quü dù phßng tµi chÝnh</t>
  </si>
  <si>
    <t>Quü dù phßng trî cÊp mÊt viÖc lµm</t>
  </si>
  <si>
    <t>- 421</t>
  </si>
  <si>
    <t>L·i ch­a ph©n phèi</t>
  </si>
  <si>
    <t>- 4211</t>
  </si>
  <si>
    <t>L·i n¨m tr­íc</t>
  </si>
  <si>
    <t>421103</t>
  </si>
  <si>
    <t>L·i n¨m tr­íc-VNC SG</t>
  </si>
  <si>
    <t>- 4212</t>
  </si>
  <si>
    <t>L·i n¨m nay</t>
  </si>
  <si>
    <t>421203</t>
  </si>
  <si>
    <t>L·i n¨m nay-VNC SG</t>
  </si>
  <si>
    <t>- 431</t>
  </si>
  <si>
    <t>Quü khen th­ëng, phóc lîi</t>
  </si>
  <si>
    <t>- 4311</t>
  </si>
  <si>
    <t>Quü khen th­ëng</t>
  </si>
  <si>
    <t>431103</t>
  </si>
  <si>
    <t>Quü khen th­ëng-VNC SG</t>
  </si>
  <si>
    <t>- 4312</t>
  </si>
  <si>
    <t>Quü phóc lîi</t>
  </si>
  <si>
    <t>431203</t>
  </si>
  <si>
    <t>Quü phóc lîi-VNC SG</t>
  </si>
  <si>
    <t>- 4313</t>
  </si>
  <si>
    <t>Quü phóc lîi  h×nh thµnh TSC§</t>
  </si>
  <si>
    <t>431303</t>
  </si>
  <si>
    <t>Quü phóc lîi  h×nh thµnh TSC§-VNC SG</t>
  </si>
  <si>
    <t>441</t>
  </si>
  <si>
    <t>Nguån vèn ®Çu t­ XDCB</t>
  </si>
  <si>
    <t>451</t>
  </si>
  <si>
    <t>Qòy qu¶n lý cña cÊp trªn</t>
  </si>
  <si>
    <t>- 461</t>
  </si>
  <si>
    <t>Nguån kinh phÝ sù nghiÖp</t>
  </si>
  <si>
    <t>4611</t>
  </si>
  <si>
    <t>Nguån KP sù nghiÖp: N¨m tr­íc</t>
  </si>
  <si>
    <t>4612</t>
  </si>
  <si>
    <t>Nguån KP sù nghiÖp: N¨m nay</t>
  </si>
  <si>
    <t>466</t>
  </si>
  <si>
    <t>Nguån kinh phÝ ®· h×nh thµnh TSC§</t>
  </si>
  <si>
    <t>- 511</t>
  </si>
  <si>
    <t>Doanh thu b¸n hµng</t>
  </si>
  <si>
    <t>- 5111</t>
  </si>
  <si>
    <t>Doanh thu b¸n hµng hãa</t>
  </si>
  <si>
    <t>- 511103</t>
  </si>
  <si>
    <t>Doanh thu b¸n hµng-VNC SG</t>
  </si>
  <si>
    <t>5111031</t>
  </si>
  <si>
    <t>Doanh thu b¸n hµng - Than</t>
  </si>
  <si>
    <t>- 5113</t>
  </si>
  <si>
    <t>Doanh thu cung cÊp dÞch vô</t>
  </si>
  <si>
    <t>- 511303</t>
  </si>
  <si>
    <t>Doanh thu cung cÊp dÞch vô-VNC SG</t>
  </si>
  <si>
    <t>5113030</t>
  </si>
  <si>
    <t>Doanh thu thuª nhµ, ®iÖn n­íc . . . .</t>
  </si>
  <si>
    <t>5113031</t>
  </si>
  <si>
    <t>Doanh thu §éi xe cont</t>
  </si>
  <si>
    <t>5113032</t>
  </si>
  <si>
    <t>Doanh thu VËn t¶i thÞ tr­êng</t>
  </si>
  <si>
    <t>5113033</t>
  </si>
  <si>
    <t>Doanh thu b¸n lÎ NH3</t>
  </si>
  <si>
    <t>5113034</t>
  </si>
  <si>
    <t>Doanh thu ho¹t ®éng th­¬ng m¹i - Bét ®¸ CaCO3</t>
  </si>
  <si>
    <t>5113035</t>
  </si>
  <si>
    <t>Doanh thu Taray</t>
  </si>
  <si>
    <t>5113036</t>
  </si>
  <si>
    <t>Doanh thu bét ®¸ KS Hµ Nam</t>
  </si>
  <si>
    <t>5113037</t>
  </si>
  <si>
    <t>DT DVVC CaCO3 Yªn B¸i</t>
  </si>
  <si>
    <t>5113039</t>
  </si>
  <si>
    <t>Doanh thu ho¹t ®éng giao nhËn kh¸c</t>
  </si>
  <si>
    <t>- 515</t>
  </si>
  <si>
    <t>Doanh thu ho¹t ®éng tµi chÝnh</t>
  </si>
  <si>
    <t>51503</t>
  </si>
  <si>
    <t>Doanh thu ho¹t ®éng tµi chÝnh-VNC SG</t>
  </si>
  <si>
    <t>- 531</t>
  </si>
  <si>
    <t>Hµng b¸n bÞ tr¶ l¹i</t>
  </si>
  <si>
    <t>- 5311</t>
  </si>
  <si>
    <t>Hµng b¸n bÞ tr¶ l¹i  hµng hãa</t>
  </si>
  <si>
    <t>53113</t>
  </si>
  <si>
    <t>Hµng b¸n bÞ tr¶ l¹i  hµng hãa - NH3</t>
  </si>
  <si>
    <t>- 5313</t>
  </si>
  <si>
    <t>Hµng b¸n bÞ tr¶ l¹i  cung cÊp dÞch vô</t>
  </si>
  <si>
    <t>53136</t>
  </si>
  <si>
    <t>Hµng b¸n bÞ tr¶ l¹i  c.cÊp dÞch vô - Hµ Nam</t>
  </si>
  <si>
    <t>- 621</t>
  </si>
  <si>
    <t>Chi phÝ NVL trùc tiÕp</t>
  </si>
  <si>
    <t>- 62103</t>
  </si>
  <si>
    <t>Chi phÝ NVL trùc tiÕp-VNC SG</t>
  </si>
  <si>
    <t>621031</t>
  </si>
  <si>
    <t>Chi phÝ NVL trùc tiÕp - §éi xe cont</t>
  </si>
  <si>
    <t>- 622</t>
  </si>
  <si>
    <t>- Nguyªn t¾c kÕ to¸n ho¹t ®éng liªn doanh d­íi h×nh thøc: ho¹t ®éng kinh doanh ®ång kiÓm so¸t vµ tµi s¶n ®ång kiÓm so¸t; C¬ së kinh doanh ®ång kiÓm so¸t.</t>
  </si>
  <si>
    <t>12. Ghi nhËn c¸c kho¶n ph¶i tr¶ th­¬ng m¹i vµ ph¶i tr¶ kh¸c.</t>
  </si>
  <si>
    <t>13. Ghi nhËn chi phÝ ph¶i tr¶, trÝch tr­íc chi phÝ söa ch÷a lín, chi phÝ b¶o hµnh s¶n phÈm, trÝch quÜ dù phßng trî cÊp mÊt viÖc lµm.</t>
  </si>
  <si>
    <t xml:space="preserve">- Nguyªn t¾c dùa trªn nghiÖp vô mua dÞch vô, hµng ho¸ ph¸t sinh vµ hoµn thµnh cã ho¸ ®¬n chøng tõ ®Çy ®ñ. C¸c kho¶n ph¶i tr¶ kh¸c nh­ BHXH, BHYT, KPC§, thuÕ ®èi víi Nhµ n­íc c¸c kho¶n ®i vay vèn vµ vËt t­ tiÒn vèn cã tÝnh chÊt t¹m thêi. Gi¸ trÞ tµi s¶n thõa ph¶i tr¶ c¸ nh©n, tËp thÓ khi cã ®ñ c¬ së. Doanh thu ch­a thùc hiÖn cña ®¬n vÞ. </t>
  </si>
  <si>
    <t>- Chi phÝ ®­îc ghi nhËn lµ nh÷ng chi phÝ ho¹t ®éng s¶n xuÊt, kinh doanh trong kú nh­ng thùc tÕ ch­a ph¸t sinh, mµ sÏ ph¸t sinh trong kú nµy hoÆc nhiÒu kú sau vµ ph¶n ¸nh sè hiÖn cã, t×nh h×nh trÝch lËp vµ sö dông quü dù phßng vÒ trî cÊp mÊt viÖc lµm cña C«ng ty. Ngo¹i trõ viÖc h¹ch to¸n quü dù phßng vÒ trî cÊp mÊt viÖc lµm, ®­îc h¹ch to¸n vµo tµi kho¶n nµy nh÷ng chi phÝ thùc tÕ ch­a ph¸t sinh, nh­ng ®­îc tÝnh tr­íc vµo chi phÝ ho¹t ®éng s¶n xuÊt kinh doanh kú nµy cho c¸c ®èi t­îng chÞu chi phÝ ®Ó ®¶m b¶o khi chi phÝ ph¸t sinh thùc tÕ kh«ng g©y ®ét biÕn cho chi phÝ s¶n xuÊt kinh doanh. ViÖc h¹ch to¸n c¸c kho¶n chi phÝ ph¶i tr¶ vµo chi phÝ s¶n xuÊt kinh doanh trong kú thùc hiÖn theo nguyªn t¾c phï hîp gi÷a doanh thu vµ chi phÝ ph¸t sinh trong kú.</t>
  </si>
  <si>
    <t>14. Ghi nhËn c¸c kho¶n chi phÝ tr¶ tr­íc, dù phßng.</t>
  </si>
  <si>
    <t>- Lµ nh÷ng chi phÝ thùc tÕ ®· ph¸t sinh, nh­ng ch­a tÝnh vµo chi phÝ s¶n xuÊt kinh doanh trong kú mµ tÝnh vµo hai hay nhiÒu kú kÕ to¸n tiÕp theo.</t>
  </si>
  <si>
    <t xml:space="preserve">                                                  </t>
  </si>
  <si>
    <t>VINAFCO SAIGON</t>
  </si>
  <si>
    <t>Tk</t>
  </si>
  <si>
    <t>No_dk</t>
  </si>
  <si>
    <t>Co_dk</t>
  </si>
  <si>
    <t>Ps_no</t>
  </si>
  <si>
    <t>Ps_co</t>
  </si>
  <si>
    <t>No_ck</t>
  </si>
  <si>
    <t>Co_ck</t>
  </si>
  <si>
    <t>Ten_tk</t>
  </si>
  <si>
    <t>-</t>
  </si>
  <si>
    <t/>
  </si>
  <si>
    <t>- 111</t>
  </si>
  <si>
    <t>TiÒn mÆt</t>
  </si>
  <si>
    <t>- 1111</t>
  </si>
  <si>
    <t>TiÒn mÆt ViÖt Nam</t>
  </si>
  <si>
    <t>111103</t>
  </si>
  <si>
    <t>TiÒn mÆt ViÖt Nam - VP Sµi Gßn</t>
  </si>
  <si>
    <t>- 1112</t>
  </si>
  <si>
    <t>TiÒn mÆt Ngo¹i tÖ</t>
  </si>
  <si>
    <t>111203</t>
  </si>
  <si>
    <t>TiÒn mÆt Ngo¹i tÖ - VP Sµi Gßn</t>
  </si>
  <si>
    <t>1113</t>
  </si>
  <si>
    <t>Vµng b¹c, kim khÝ quý, ®¸ quý</t>
  </si>
  <si>
    <t>- 112</t>
  </si>
  <si>
    <t>TiÒn göi ng©n hµng</t>
  </si>
  <si>
    <t>- 1121</t>
  </si>
  <si>
    <t>TiÒn VND göi ng©n hµng</t>
  </si>
  <si>
    <t>- 112103</t>
  </si>
  <si>
    <t>TiÒn VND göi ng©n hµng - VP Sµi Gßn</t>
  </si>
  <si>
    <t>1121031</t>
  </si>
  <si>
    <t>TiÒn VND göi  Ng©n Hµng Hµng H¶i</t>
  </si>
  <si>
    <t>1121032</t>
  </si>
  <si>
    <t>TiÒn VND göi  CN NH NN &amp; PTNT -Q4</t>
  </si>
  <si>
    <t>1121033</t>
  </si>
  <si>
    <t>TiÒn VND göi  t¹i NH TM CP Kü Th­¬ng VN</t>
  </si>
  <si>
    <t>1121034</t>
  </si>
  <si>
    <t>TiÒn VND göi  t¹i NH C«ng Th­¬ng VN - CN 4</t>
  </si>
  <si>
    <t>- 1122</t>
  </si>
  <si>
    <t>TiÒn ngo¹i tÖ göi ng©n hµng</t>
  </si>
  <si>
    <t>- 112203</t>
  </si>
  <si>
    <t>TiÒn ngo¹i tÖ göi ng©n hµng - CNSG</t>
  </si>
  <si>
    <t>1122031</t>
  </si>
  <si>
    <t>18. Nguyªn t¾c ghi nhËn doanh thu b¸n hµng, doanh thu cung cÊp dÞch vô, doanh thu ho¹t ®éng tµi chÝnh.</t>
  </si>
  <si>
    <t xml:space="preserve">  NghiÖp vô kinh tÕ ph¸t sinh b»ng Ngo¹i tÖ ®­îc qui ®æi ra ®ång ViÖt Nam theo tû gi¸ giao dÞch thùc tÕ t¹i thêi ®iÓm ph¸t sinh nghiÖp vô. T¹i thêi ®iÓm cuèi n¨m c¸c kho¶n môc tiÒn tÖ cã gèc ngo¹i tÖ ®­îc quy ®æi  theo tû gia b×nh qu©n liªn ng©n hµng do Ng©n hµng Nhµ n­íc ViÖt nam c«ng bè vµo ngµy kÕt thóc niªn ®é kÕ to¸n. Chªnh lÖch tû gi¸ thùc tÕ ph¸t sinh trong kú vµ chªnh lÖch tû gi¸ do ®¸nh gi¸ l¹i sè d­ c¸c kho¶n môc tiÒn tÖ t¹i thêi ®iÓm cuèi n¨m ®­îc kÕt chuyÓn vµo doanh thu tµi chÝnh hoÆc chi phÝ tµi chÝnh trong n¨m tµi chÝnh ®ã.</t>
  </si>
  <si>
    <t>5 = 1+2+3+4</t>
  </si>
  <si>
    <t>- Vèn gãp cña Nhµ n­íc</t>
  </si>
  <si>
    <t>- Vèn gãp cña c¸c ®èi t­îng kh¸c</t>
  </si>
  <si>
    <t>VI. Th«ng tin bæ sung cho c¸c kho¶n môc tr×nh bµy trong B¶ng c©n ®èi kÕ to¸n vµ B¸o c¸o kÕt qu¶ ho¹t ®éng kinh doanh.</t>
  </si>
  <si>
    <t xml:space="preserve">1. TiÒn vµ c¸c kho¶n t­¬ng ®­¬ng tiÒn </t>
  </si>
  <si>
    <t>- TiÒn mÆt</t>
  </si>
  <si>
    <t>- TiÒn göi ng©n hµng</t>
  </si>
  <si>
    <t>- TiÒn ®ang chuyÓn</t>
  </si>
  <si>
    <t>- C¸c kho¶n t­¬ng ®­¬ng tiÒn</t>
  </si>
  <si>
    <t>2. C¸c kho¶n ph¶i thu ng¾n h¹n</t>
  </si>
  <si>
    <t>- Ph¶i thu kh¸ch hµng</t>
  </si>
  <si>
    <t>- Ph¶i thu theo tiÕn ®é kÕ ho¹ch hîp ®ång x©y dùng</t>
  </si>
  <si>
    <t>- C¸c kho¶n ph¶i thu kh¸c</t>
  </si>
  <si>
    <t>+ T¹m øng</t>
  </si>
  <si>
    <t>+ Tµi s¶n thiÕu chê xö lý</t>
  </si>
  <si>
    <t>+ Ký quÜ, ký c­îc ng¾n h¹n</t>
  </si>
  <si>
    <t>+ Ph¶i thu kh¸c</t>
  </si>
  <si>
    <t xml:space="preserve">- Dù phßng ph¶i thu khã ®ßi </t>
  </si>
  <si>
    <t>- Gi¸ trÞ thuÇn cña ph¶i thu th­¬ng m¹i vµ ph¶i thu kh¸c</t>
  </si>
  <si>
    <t>3. Hµng tån kho</t>
  </si>
  <si>
    <t>- Hµng mua ®ang ®i trªn ®­êng</t>
  </si>
  <si>
    <t>- Nguyªn liÖu, vËt liÖu</t>
  </si>
  <si>
    <t>- C«ng cô, dông cô</t>
  </si>
  <si>
    <t>- Chi phÝ s¶n xuÊt, kinh doanh dë dang</t>
  </si>
  <si>
    <t>- Thµnh phÈm</t>
  </si>
  <si>
    <t>- Hµng ho¸</t>
  </si>
  <si>
    <t>- Hµng göi ®i b¸n</t>
  </si>
  <si>
    <t>Céng gi¸ trÞ hµng tån kho</t>
  </si>
  <si>
    <t>- Dù phßng gi¶m gi¸ hµng tån kho</t>
  </si>
  <si>
    <t>- Gi¸ trÞ thuÇn cã thÓ thùc hiÖn ®­îc cña hµng tån kho</t>
  </si>
  <si>
    <t>* Gi¸ trÞ hoµn nhËp dù phßng gi¶m gi¸ hµng tån kho trong n¨m:</t>
  </si>
  <si>
    <t>* Gi¸ trÞ hµng tån kho dïng ®Ó thÕ chÊp cho c¸c kho¶n nî:</t>
  </si>
  <si>
    <t>* Lý do trÝch thªm hoÆc hoµn nhËp dù phßng gi¶m gi¸ hµng tån kho</t>
  </si>
  <si>
    <t>4. C¸c kho¶n thuÕ ph¶i thu</t>
  </si>
  <si>
    <t>- ThuÕ GTGT cßn ®­îc khÊu trõ</t>
  </si>
  <si>
    <t>- C¸c kho¶n thuÕ nép thõa cho nhµ n­íc</t>
  </si>
  <si>
    <t>+ ThuÕ thu nhËp doanh nghiÖp</t>
  </si>
  <si>
    <t>+ ThuÕ</t>
  </si>
  <si>
    <t>5. C¸c kho¶n ph¶i thu dµi h¹n</t>
  </si>
  <si>
    <t>- Ph¶i thu dµi h¹n kh¸ch hµng</t>
  </si>
  <si>
    <t>- Ph¶i thu néi bé dµi h¹n</t>
  </si>
  <si>
    <t>+ Vèn kinh doanh ë c¸c ®¬ vÞ trùc thuéc</t>
  </si>
  <si>
    <t>+ Cho vay néi bé</t>
  </si>
  <si>
    <t>+ Ph¶i thu néi bé kh¸c</t>
  </si>
  <si>
    <t>- Ph¶i thu dµi h¹n kh¸c</t>
  </si>
  <si>
    <t>- Dù phßng ph¶i thu dµi h¹n khã ®ßi</t>
  </si>
  <si>
    <t>Nam</t>
  </si>
  <si>
    <t>truoc</t>
  </si>
  <si>
    <t>- §iÒu kho¶n gia h¹n thuª hoÆc quyÒn ®­îc mua tµi s¶n: kh«ng ph¸t sinh</t>
  </si>
  <si>
    <t>- TiÒn thuª ph¸t sinh thªm ®­îc ghi nhËn lµ chi phÝ trong n¨m: kh«ng ph¸t sinh</t>
  </si>
  <si>
    <t>- C¨n cø ®Ó x¸c ®Þnh tiÒn thuª ph¸t sinh thªm: kh«ng ph¸t sinh</t>
  </si>
  <si>
    <t>9. Chi phÝ x©y dùng c¬ b¶n dë dang</t>
  </si>
  <si>
    <t>- Chi phÝ XDCB dë dang</t>
  </si>
  <si>
    <t>12. Chi phÝ tr¶ tr­íc dµi h¹n</t>
  </si>
  <si>
    <t>- Sè d­ ®Çu n¨m</t>
  </si>
  <si>
    <t>- T¨ng trong n¨m</t>
  </si>
  <si>
    <t xml:space="preserve">- §· kÕt chuyÓn vµo chi phÝ SXKD trong n¨m </t>
  </si>
  <si>
    <t>- Sè d­ cuèi n¨m</t>
  </si>
  <si>
    <t>14. C¸c kho¶n vay vµ nî ng¾n h¹n</t>
  </si>
  <si>
    <t xml:space="preserve">- Vay dµi h¹n ®Õn h¹n tr¶ </t>
  </si>
  <si>
    <t>- Nî thuª tµi chÝnh ®Õn h¹n tr¶</t>
  </si>
  <si>
    <t>- Tr¸i phiÕu ph¸t hµnh ®Õn h¹n tr¶</t>
  </si>
  <si>
    <t>15. Ph¶i tr¶ ng­êi b¸n vµ ng­êi mua tr¶ tiÒn tr­íc</t>
  </si>
  <si>
    <t>- Ph¶i tr¶ ng­êi b¸n</t>
  </si>
  <si>
    <t>- Ng­êi mua tr¶ tiÒn tr­íc</t>
  </si>
  <si>
    <t>16. ThuÕ vµ c¸c kho¶n ph¶i nép nhµ n­íc</t>
  </si>
  <si>
    <t>16.1. ThuÕ ph¶i nép Nhµ n­íc</t>
  </si>
  <si>
    <t>- ThuÕ GTGT</t>
  </si>
  <si>
    <t>- ThuÕ TNDN</t>
  </si>
  <si>
    <t>16.2. C¸c kho¶n ph¶i nép kh¸c</t>
  </si>
  <si>
    <t>17. Chi phÝ ph¶i tr¶</t>
  </si>
  <si>
    <t>- Chi phÝ ph¶i tr¶</t>
  </si>
  <si>
    <t>- QuÜ dù phßng trî cÊp mÊt viÖc lµm</t>
  </si>
  <si>
    <t>18. C¸c kho¶n ph¶i tr¶, ph¶i nép kh¸c</t>
  </si>
  <si>
    <t>- B¶o hiÓm y tÕ</t>
  </si>
  <si>
    <t>- B¶o hiÓm x· héi</t>
  </si>
  <si>
    <t>- Kinh phÝ c«ng ®oµn</t>
  </si>
  <si>
    <t>- C¸c kho¶n ph¶i tr¶, ph¶i nép kh¸c</t>
  </si>
  <si>
    <t>19. Ph¶i tr¶ dµi h¹n néi bé</t>
  </si>
  <si>
    <t>- Ph¶i tr¶ dµi h¹n néi bé vÒ cÊp vèn</t>
  </si>
  <si>
    <t>- Ph¶i tr¶ dµi h¹n néi bé kh¸c</t>
  </si>
  <si>
    <t>20. C¸c kho¶n vay vµ nî dµi h¹n</t>
  </si>
  <si>
    <t>20.1 Vay dµi h¹n</t>
  </si>
  <si>
    <t>- Vay Ng©n hµng</t>
  </si>
  <si>
    <t>20.2 Nî dµi h¹n</t>
  </si>
  <si>
    <t>- Thuª tµi chÝnh</t>
  </si>
  <si>
    <t>20.3. C¸c kho¶n nî thuª tµi chÝnh</t>
  </si>
  <si>
    <t xml:space="preserve">M¸y mãc </t>
  </si>
  <si>
    <t>thiÕt bÞ</t>
  </si>
  <si>
    <t>KÕ to¸n tr­ëng</t>
  </si>
  <si>
    <t>ThiÕt bÞ, dông cô qu¶n lý</t>
  </si>
  <si>
    <t>M¸y mãc, thiÕt bÞ</t>
  </si>
  <si>
    <t>222</t>
  </si>
  <si>
    <t>Céng</t>
  </si>
  <si>
    <t>ChØ tiªu</t>
  </si>
  <si>
    <t>A</t>
  </si>
  <si>
    <t>Tæng céng</t>
  </si>
  <si>
    <t>N¨m tr­íc</t>
  </si>
  <si>
    <t>N¨m nay</t>
  </si>
  <si>
    <t>Ng­êi lËp biÓu</t>
  </si>
  <si>
    <t>- Tr¶ tr­íc cho ng­êi b¸n</t>
  </si>
  <si>
    <t>- Ph¶i thu néi bé</t>
  </si>
  <si>
    <t>- Vay ng¾n h¹n</t>
  </si>
  <si>
    <t>Trong ®ã:</t>
  </si>
  <si>
    <t xml:space="preserve">2. Tuyªn bè vÒ viÖc tu©n thñ ChuÈn mùc kÕ to¸n vµ ChÕ ®é kÕ to¸n </t>
  </si>
  <si>
    <t>1. Nguyªn t¾c ghi nhËn c¸c kho¶n tiÒn vµ c¸c kho¶n t­¬ng ®­¬ng tiÒn: tiÒn mÆt, tiÒn göi ng©n hµng, tiÒn ®ang chuyÓn gåm.</t>
  </si>
  <si>
    <t>2. Nguyªn t¾c ghi nhËn hµng tån kho</t>
  </si>
  <si>
    <t>- Dùa trªn nguyªn t¾c thËn träng khi x¸c ®Þnh c¸c kho¶n chi phÝ ph¶i tr¶ ®¶m b¶o cã nguån tr¶.</t>
  </si>
  <si>
    <t>10. Nguyªn t¾c ghi nhËn vèn chñ së h÷u</t>
  </si>
  <si>
    <t>- Ghi nhËn vèn ®Çu t­ cña chñ së h÷u, thÆng d­ vèn cæ phÇn, vèn kh¸c cña chñ së h÷u: theo gi¸ trÞ thuÇn</t>
  </si>
  <si>
    <t>- Ghi nhËn cæ tøc: C«ng ty mÑ quyÕt ®Þnh, trong quý I n¨m 2006 vÊn ®Ò nµy ch­a ®­îc Héi ®ång Qu¶n trÞ ®Ò cËp.</t>
  </si>
  <si>
    <t>- Nguyªn t¾c ghi nhËn  chªnh lÖch ®¸nh gi¸ l¹i tµi s¶n: theo gi¸ trÞ thuÇn khi ®­îc x¸c ®Þnh ®Çy ®ñ.</t>
  </si>
  <si>
    <t>- Nguyªn t¾c ghi nhËn chªnh lÖnh tû gi¸: Ngo¹i tÖ ®­îc qui ®æi ra ®ång ViÖt Nam theo tû gi¸ giao dÞch b×nh qu©n liªn ng©n hµng do ng©n hµng nhµ n­íc c«ng bè t¹i thêi ®iÓm ph¸t sinh nghiÖp vô. T¹i thêi ®iÓm cuèi n¨m c¸c kho¶n môc tiÒn tÖ cã gèc ngo¹i tÖ ®­îc qui ®æi theo tû gi¸ b×nh qu©n liªn ng©n hµng do ng©n hµng nhµ n­íc c«ng bè t¹i ngµy kho¸ sæ niªn ®é kÕ to¸n. Khi cã dÊu hiÖu biÕn ®éng vÒ tû gi¸ trÝch lËp dù phßng theo quy ®Þnh.</t>
  </si>
  <si>
    <t>- Nguyªn t¾c ghi nhËn lîi nhuËn ch­a ph©n phèi: Doanh thu - chi phÝ - thuÕ TNDN ph¶i nép</t>
  </si>
  <si>
    <t>11. Nguyªn t¾c vµ ph­¬ng ph¸p ghi nhËn doanh thu b¸n hµng, doanh thu cung cÊp dÞch vô, doanh thu ho¹t ®éng tµi chÝnh.</t>
  </si>
  <si>
    <t>12. Nguyªn t¾c vµ ph­¬ng ph¸p ghi nhËn chi phÝ tµi chÝnh: Chi phÝ tµi chÝnh thùc tÕ ph¶i tr¶</t>
  </si>
  <si>
    <t>13. Nguyªn t¾c vµ ph­¬ng ph¸p ghi nhËn chi phÝ thuÕ TNDN hiÖn hµnh, chi phÝ thuÕ TNDN ho·n l¹i: kh«ng ph¸t sinh</t>
  </si>
  <si>
    <t>Quý I n¨m 2006</t>
  </si>
  <si>
    <t>Sè cuèi quý</t>
  </si>
  <si>
    <t>Thay linh kiÖn m¸y Photo TOSIBA</t>
  </si>
  <si>
    <t>415</t>
  </si>
  <si>
    <t>416</t>
  </si>
  <si>
    <t>414</t>
  </si>
  <si>
    <t xml:space="preserve">- Nguyªn t¾c ghi nhËn: c¸c kho¶n ph¶i thu ®­îc tr×nh bµy trªn B¸o c¸o tµi chÝnh theo gi¸ trÞ ghi sæ cïng víi dù phßng ®­îc lËp cho c¸c kho¶n nî ph¶i thu khã ®ßi. </t>
  </si>
  <si>
    <t>4. Nguyªn t¾c x¸c ®Þnh kho¶n ph¶i thu, ph¶i tr¶ theo tiÕn ®é kÕ ho¹ch hîp ®ång x©y dùng:</t>
  </si>
  <si>
    <t>- Nguyªn t¾c x¸c ®Þnh kho¶n ph¶i thu theo tiÕn ®é kÕ ho¹ch hîp ®ång x©y dùng: kh«ng ph¸t sinh</t>
  </si>
  <si>
    <t>Luỹ kế từ đầu năm đến cuối quý này</t>
  </si>
  <si>
    <t>Năm 2006</t>
  </si>
  <si>
    <t>Năm 2005</t>
  </si>
  <si>
    <t>Quý II</t>
  </si>
  <si>
    <t>Năm nay</t>
  </si>
  <si>
    <t>- Chi phÝ ®­îc ghi nhËn lµ nh÷ng chi phÝ ho¹t ®éng s¶n xuÊt, kinh doanh trong kú nh­ng thùc tÕ ch­a ph¸t sinh, mµ sÏ ph¸t sinh trong kú nµy hoÆc nhiÒu kú sau vµ ph¶n ¸nh sè hiÖn cã. §­îc h¹ch to¸n vµo tµi kho¶n nµy nh÷ng chi phÝ thùc tÕ ch­a ph¸t sinh, nh­ng ®­îc tÝnh tr­íc vµo chi phÝ ho¹t ®éng s¶n xuÊt kinh doanh kú nµy cho c¸c ®èi t­îng chÞu chi phÝ ®Ó ®¶m b¶o khi chi phÝ ph¸t sinh thùc tÕ kh«ng g©y ®ét biÕn cho chi phÝ s¶n xuÊt kinh doanh. ViÖc h¹ch to¸n c¸c kho¶n chi phÝ ph¶i tr¶ vµo chi phÝ s¶n xuÊt kinh doanh trong kú thùc hiÖn theo nguyªn t¾c phï hîp gi÷a doanh thu vµ chi phÝ ph¸t sinh trong kú.</t>
  </si>
  <si>
    <t>Quý II năm 2006</t>
  </si>
  <si>
    <t>10. Lợi nhuận thuần từ hoạt động kinh doanh [ 30 = 20 + ( 21 - 22 ) - ( 24 + 25 ) ]</t>
  </si>
  <si>
    <t>11. Thu nhập khác</t>
  </si>
  <si>
    <t>12. Chi phí khác</t>
  </si>
  <si>
    <t xml:space="preserve">13. Lợi nhuận khác ( 40 = 31 - 32 ) 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</si>
  <si>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</si>
  <si>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</si>
  <si>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</si>
  <si>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</si>
  <si>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</si>
  <si>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</si>
  <si>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</si>
  <si>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</si>
  <si>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</si>
  <si>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</si>
  <si>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</si>
  <si>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</si>
  <si>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VI.25</t>
  </si>
  <si>
    <t>VI.27</t>
  </si>
  <si>
    <t>VI.26</t>
  </si>
  <si>
    <t>VI.28</t>
  </si>
  <si>
    <t>VI.30</t>
  </si>
  <si>
    <t xml:space="preserve">Ban hµnh theo Q§ sè 15/2006/Q§-BTC  </t>
  </si>
  <si>
    <t>ngµy 20/3/2006 cña Bé tr­ëng Bé Tµi chÝnh</t>
  </si>
  <si>
    <t>Bé giao th«ng vËn t¶i</t>
  </si>
  <si>
    <t>MÉu sè B 09a - DN</t>
  </si>
  <si>
    <t>C«ng ty cæ phÇn vinafco</t>
  </si>
  <si>
    <t xml:space="preserve">    §Þa chØ: 36 Ph¹m Hïng - Tõ Liªm - Hµ Néi</t>
  </si>
  <si>
    <t>b¶n thuyÕt minh b¸o c¸o tµi chÝnh chän läc</t>
  </si>
  <si>
    <t>4. §Æc ®iÓm ho¹t ®éng cña doanh nghiÖp trong kú kÕ to¸n cã ¶nh h­ëng ®Õn B¸o c¸o tµi chÝnh: kinh doanh vËn t¶i vµ kho b·i trong nh÷ng th¸ng ®Çu n¨m cã nhiÒu khã kh¨n do th¸ng nghØ tÕt Nguyªn ®¸n vµ l­îng hµng l­u th«ng gi¶m ®¸ng kÓ.</t>
  </si>
  <si>
    <t>II. Kú kÕ to¸n, ®¬n vÞ tiÒn tÖ sö dông trong kÕ to¸n</t>
  </si>
  <si>
    <t>1. Kú kÕ to¸n n¨m ( b¾t ®Çu tõ ngµy 01/01/ kÕt thóc vµo ngµy 31/12 hµng n¨m )</t>
  </si>
  <si>
    <t>III. ChuÈn mùc vµ chÕ ®é kÕ to¸n ¸p dông</t>
  </si>
  <si>
    <t xml:space="preserve">    C«ng ty cæ phÇn VINAFCO ¸p dông chÕ ®é kÕ to¸n ViÖt Nam ban hµnh theo QuyÕt ®Þnh sè 15/2006/Q§-BTC ngµy 20 th¸ng 3 n¨m 2006. C¸c ChuÈn mùc kÕ to¸n ViÖt Nam do Bé Tµi chÝnh ban hµnh theo c¸c QuyÕt ®Þnh sè 149/2001/Q§-BTC ngµy 31/12/2001, QuyÕt ®Þnh sè 165/2002/Q§-BTC ngµy 31/12/2002, QuyÕt ®Þnh sè 234/2003/Q§-BTC ngµy 30/12/2003, QuyÕt ®Þnh sè 12/2005/Q§-BTC ngµy 15/2/2005, QuyÕt ®Þnh 100/2005 Q§-BTC ngµy 28/12/2005 vµ c¸c th«ng t­ söa ®æi, bæ sung, h­íng dÉn thùc hiÖn kÌm theo. B¸o c¸o Tµi chÝnh ®­îc lËp vµ tr×nh bÇy phï hîp víi c¸c chuÈn mùc vµ chÕ ®é kÕ to¸n ViÖt Nam.</t>
  </si>
  <si>
    <t>3. H×nh thøc sæ kÕ to¸n ¸p dông: Chøng tõ ghi sæ</t>
  </si>
  <si>
    <t>IV. C¸c chÝnh s¸ch kÕ to¸n ¸p dông</t>
  </si>
  <si>
    <t xml:space="preserve">Nguyªn t¾c x¸c ®Þnh c¸c kho¶n t­¬ng ®­¬ng tiÒn: lµ c¸c kho¶n ®Çu t­ ng¾n h¹n kh«ng qu¸ 3 th¸ng cã kh¶ n¨ng chuyÓn ®æi dÔ dµng thµnh tiÒn vµ kh«ng cã nhiÒu rñi ro trong chuyÓn ®æi thµnh tiÒn kÓ tõ ngµy mua kho¶n ®Çu t­ ®ã t¹i thêi ®iÓm b¸o c¸o. </t>
  </si>
  <si>
    <t>GÝa gèc hµng tån kho mua ngoµi bao gåm gi¸ mua, c¸c lo¹i thuÕ kh«ng ®­îc hoµn l¹i, chi phÝ vËn chuyÓn, bèc xÕp b¶o qu¶n trong qu¸ tr×nh mua hµng vµ c¸c chi phÝ kh¸c cã liªn quan trùc tiÕp ®Õn viÖc mua hµng tån kho.</t>
  </si>
  <si>
    <t>( Lợi nhuận sau thuế chưa bao gồm lãi được chia 6 tháng năm 2006 từ Liên doanh Draco: 2,4 tỷ )</t>
  </si>
  <si>
    <t xml:space="preserve">  6. Dự phòng phải thu ngắn hạn khó đòi ( * )   </t>
  </si>
  <si>
    <t xml:space="preserve">  6. Dự phòng trợ cấp  mất việc làm </t>
  </si>
  <si>
    <t>18. C¸c kho¶n ph¶i tr¶, ph¶i nép ng¾n h¹n kh¸c</t>
  </si>
  <si>
    <t>- NhËn ký quü, ký c­îc</t>
  </si>
  <si>
    <t>- Vay ®èi t­îng kh¸c</t>
  </si>
  <si>
    <t>Vèn ®Çu t­ cña chñ së h÷u</t>
  </si>
  <si>
    <t>T¨ng trong kú</t>
  </si>
  <si>
    <t xml:space="preserve">- Lîi nhuËn tr­íc thuÕ </t>
  </si>
  <si>
    <t xml:space="preserve">Gi¸m ®èc </t>
  </si>
  <si>
    <t>1. H×nh thøc së h÷u vèn: Vèn 100% do C«ng ty mÑ ®Çu t­</t>
  </si>
  <si>
    <t xml:space="preserve">2. LÜnh vùc kinh doanh: th­¬ng m¹i, dÞch vô </t>
  </si>
  <si>
    <t>3. Ngµnh nghÒ kinh doanh: kinh doanh vËn t¶i biÓn, kinh doanh vËn t¶i hµng ho¸ b»ng ®­êng thuû-« t«, ®¹i lý tµu biÓn, m«i giíi hµng h¶i, ®¹i lý giao nhËn hµng ho¸ xuÊt nhËp khÈu, dÞch vô uû th¸c xuÊt nhËp khÈu, cho thuª kho b·i, container, dÞch vô xÕp dì hµng ho¸, dÞch vô cung øng tµu biÓn, dÞch vô söa ch÷a tµu biÓn, thiÕt bÞ giao th«ng vËn t¶i, mua b¸n vËt liÖu x©y dùng, ho¸ chÊt, kho¸ng s¶n, s¶n phÈm tõ ®¸ v«i, gç, muèi, ph©n bãn, khÝ ®èt, khÝ Am«niac ho¸ láng, l­¬ng thùc, n«ng s¶n, thùc phÈm, s¾t thÐp, thiÕt bÞ ®iÖn tö d©n dông-viÔn th«ng.</t>
  </si>
  <si>
    <t>15. Ghi nhËn c¸c tr¸i phiÕu cã thÓ chuyÓn ®æi: kh«ng ph¸t sinh</t>
  </si>
  <si>
    <t>16. Nguyªn t¾c chuyÓn ®æi ngo¹i tÖ vµ c¸c nghiÖp vô dù phßng rñi ro hèi ®o¸i</t>
  </si>
  <si>
    <t>- Ngo¹i tÖ ®­îc qui ®æi ra ®ång ViÖt Nam theo tû gi¸ giao dÞch b×nh qu©n liªn ng©n hµng do ng©n hµng nhµ n­íc c«ng bè t¹i thêi ®iÓm ph¸t sinh nghiÖp vô. T¹i thêi ®iÓm cuèi n¨m c¸c kho¶n môc tiÒn tÖ cã gèc ngo¹i tÖ ®­îc qui ®æi theo tû gi¸ b×nh qu©n liªn ng©n hµng do ng©n hµng nhµ n­íc c«ng bè t¹i ngµy kho¸ sæ niªn ®é kÕ to¸n. Khi cã dÊu hiÖu biÕn ®éng vÒ tû gi¸ trÝch lËp dù phßng theo quy ®Þnh.</t>
  </si>
  <si>
    <t>17. Nguån vèn chñ së h÷u:</t>
  </si>
  <si>
    <t>- Ghi nhËn vµ tr×nh bµy cæ phiÕu mua l¹i: kh«ng ph¸t sinh</t>
  </si>
  <si>
    <t>- Ghi nhËn cæ tøc: C«ng ty mÑ quyÕt ®Þnh</t>
  </si>
  <si>
    <t>01</t>
  </si>
  <si>
    <t>02</t>
  </si>
  <si>
    <t>cô qu¶n lý</t>
  </si>
  <si>
    <t xml:space="preserve">ThiÕt bÞ dông </t>
  </si>
  <si>
    <t xml:space="preserve">Ph­¬ng tiÖn vËn </t>
  </si>
  <si>
    <t>t¶i truyÒn dÉn</t>
  </si>
  <si>
    <t>MÉu sè B 09 - DN</t>
  </si>
  <si>
    <t>Chi phÝ nh©n c«ng trùc tiÕp</t>
  </si>
  <si>
    <t>- 62203</t>
  </si>
  <si>
    <t>1. H×nh thøc së h÷u vèn: C«ng ty cæ phÇn VINAFCO lµ c«ng ty cæ phÇn ®­îc thµnh lËp theo QuyÕt ®Þnh sè 211/2001/Q§/BGTVT ngµy 18 th¸ng 1 n¨m 2001 cña Bé tr­ëng Bé Giao th«ng VËn t¶i.</t>
  </si>
  <si>
    <t xml:space="preserve">2. LÜnh vùc kinh doanh: th­¬ng m¹i, dÞch vô. </t>
  </si>
  <si>
    <t>6412031</t>
  </si>
  <si>
    <t>Chi phÝ bèc xÕp giao nhËn -Than</t>
  </si>
  <si>
    <t>6412032</t>
  </si>
  <si>
    <t>Chi phÝ bèc xÕp - VËn t¶i thÞ tr­êng</t>
  </si>
  <si>
    <t>6412033</t>
  </si>
  <si>
    <t>Chi phÝ bèc xÕp, giao nhËn NH3</t>
  </si>
  <si>
    <t>6412034</t>
  </si>
  <si>
    <t>Chi phÝ bèc xÕp, giao nhËn hµng th­¬ng m¹i CaCO3</t>
  </si>
  <si>
    <t>6412037</t>
  </si>
  <si>
    <t>Chi phÝ bèc xÕp DVVC Yªn B¸i</t>
  </si>
  <si>
    <t>6412039</t>
  </si>
  <si>
    <t>Chi phÝ bèc xÕp giao nhËn  hµng lÎ</t>
  </si>
  <si>
    <t>- 6414</t>
  </si>
  <si>
    <t>Chi phÝ TT vá chai NH3</t>
  </si>
  <si>
    <t>641403</t>
  </si>
  <si>
    <t>Chi phÝ TT vá chai NH3-VNC SG</t>
  </si>
  <si>
    <t>- 6417</t>
  </si>
  <si>
    <t>Chi PhÝ BH: DV Mua Ngoµi</t>
  </si>
  <si>
    <t>- 641703</t>
  </si>
  <si>
    <t>Chi PhÝ BH: DV Mua Ngoµi-VNC SG</t>
  </si>
  <si>
    <t>6417031</t>
  </si>
  <si>
    <t>Chi phÝ DV MN hµng - Than</t>
  </si>
  <si>
    <t>6417032</t>
  </si>
  <si>
    <t>Chi PhÝ DV  mua ngoµi - VËn t¶i thÞ tr­êng</t>
  </si>
  <si>
    <t>6417033</t>
  </si>
  <si>
    <t>Chi PhÝ DV MN - Giao nhËn - NH3</t>
  </si>
  <si>
    <t>6417034</t>
  </si>
  <si>
    <t>Chi phÝ DV MN - hµng th­¬ng m¹i CaCO3 Yªn B¸i</t>
  </si>
  <si>
    <t>6417035</t>
  </si>
  <si>
    <t>Chi PhÝ DV mua ngoµi - Bé phËn Taray</t>
  </si>
  <si>
    <t>6417037</t>
  </si>
  <si>
    <t>Chi PhÝ DV mua ngoµi - DVVC Yªn B¸i</t>
  </si>
  <si>
    <t>6417038</t>
  </si>
  <si>
    <t>Chi phÝ hçn hîp - DVVC Yªn B¸i vµ hµng  VINAFCO</t>
  </si>
  <si>
    <t>- 6418</t>
  </si>
  <si>
    <t>Chi phÝ BH: B»ng tiÒn kh¸c</t>
  </si>
  <si>
    <t>- 641803</t>
  </si>
  <si>
    <t>Chi phÝ BH: B»ng tiÒn kh¸c-VNC SG</t>
  </si>
  <si>
    <t>6418031</t>
  </si>
  <si>
    <t>CP b»ng tiÒn kh¸c  - Than</t>
  </si>
  <si>
    <t>6418032</t>
  </si>
  <si>
    <t>CP b»ng tiÒn kh¸c - VËn t¶i thÞ tr­êng</t>
  </si>
  <si>
    <t>6418033</t>
  </si>
  <si>
    <t>CP b»ng tiÒn kh¸c - b¸n lÎ - NH3</t>
  </si>
  <si>
    <t>6418034</t>
  </si>
  <si>
    <t>CP b»ng tiÒn kh¸c hµng th­¬ng m¹i-CaCO3 Yªn B¸i</t>
  </si>
  <si>
    <t>6418037</t>
  </si>
  <si>
    <t>CP b»ng tiÒn kh¸c - DVVC Yªn B¸i</t>
  </si>
  <si>
    <t>6418039</t>
  </si>
  <si>
    <t>CP b»ng tiÒn kh¸c - giao nhËn lÎ</t>
  </si>
  <si>
    <t>- 642</t>
  </si>
  <si>
    <t>Chi phÝ qu¶n lý doanh nghiÖp</t>
  </si>
  <si>
    <t>- 6421</t>
  </si>
  <si>
    <t>Chi phÝ nh©n viªn qu¶n lý</t>
  </si>
  <si>
    <t>642103</t>
  </si>
  <si>
    <t>Chi phÝ nh©n viªn qu¶n lý-VNC SG</t>
  </si>
  <si>
    <t>- 6422</t>
  </si>
  <si>
    <t>Chi phÝ vËt liÖu qu¶n lý</t>
  </si>
  <si>
    <t>- 642203</t>
  </si>
  <si>
    <t>Chi phÝ vËt liÖu qu¶n lý-VNC SG</t>
  </si>
  <si>
    <t>6422031</t>
  </si>
  <si>
    <t>Chi phÝ v¨n phßng phÈm</t>
  </si>
  <si>
    <t>6422032</t>
  </si>
  <si>
    <t>Chi phÝ vËt liÖu c«ng cô</t>
  </si>
  <si>
    <t>6422033</t>
  </si>
  <si>
    <t>Chi phÝ nhiªn liÖu</t>
  </si>
  <si>
    <t>6422034</t>
  </si>
  <si>
    <t>Chi phÝ vËt liÖu kh¸c vÒ «t«</t>
  </si>
  <si>
    <t>- 6423</t>
  </si>
  <si>
    <t>Chi phÝ Qlý: §å dïng v¨n phßng + SC</t>
  </si>
  <si>
    <t>642303</t>
  </si>
  <si>
    <t>Chi phÝ Qlý: §å dïng v¨n phßng + SC-VNC SG</t>
  </si>
  <si>
    <t>- 6424</t>
  </si>
  <si>
    <t>Chi phÝ Qlý: KhÊu hao TSC§</t>
  </si>
  <si>
    <t>642403</t>
  </si>
  <si>
    <t>Chi phÝ Qlý: KhÊu hao TSC§-VNC SG</t>
  </si>
  <si>
    <t>- 6425</t>
  </si>
  <si>
    <t>Chi phÝ söa ch÷a tµi s¶n cè ®Þnh</t>
  </si>
  <si>
    <t>642503</t>
  </si>
  <si>
    <t>Chi phÝ söa ch÷a tµi s¶n cè ®Þnh-VNC SG</t>
  </si>
  <si>
    <t>- 6427</t>
  </si>
  <si>
    <t>Chi phÝ q.lý: DÞch vô mua ngoµi</t>
  </si>
  <si>
    <t>- 642703</t>
  </si>
  <si>
    <t>Chi phÝ q.lý: DÞch vô mua ngoµi-VNC SG</t>
  </si>
  <si>
    <t>6427031</t>
  </si>
  <si>
    <t>Chi phÝ ®iÖn n­íc</t>
  </si>
  <si>
    <t>6427032</t>
  </si>
  <si>
    <t>Chi phÝ th«ng tin</t>
  </si>
  <si>
    <t>6427033</t>
  </si>
  <si>
    <t>Chi phÝ thuª v¨n phßng</t>
  </si>
  <si>
    <t>- 6428</t>
  </si>
  <si>
    <t>- 642803</t>
  </si>
  <si>
    <t>Chi phÝ b»ng tiÒn kh¸c-VNC SG</t>
  </si>
  <si>
    <t>6428031</t>
  </si>
  <si>
    <t>Chi phÝ tiÕp kh¸ch</t>
  </si>
  <si>
    <t>6428032</t>
  </si>
  <si>
    <t>Chi phÝ c«ng t¸c phÝ</t>
  </si>
  <si>
    <t>6428034</t>
  </si>
  <si>
    <t>Tæng kho¶n tiÒn thanh to¸n thuª tµi chÝnh</t>
  </si>
  <si>
    <t>Tr¶ tiÒn l·i thuª</t>
  </si>
  <si>
    <t>Tr¶ nî gèc</t>
  </si>
  <si>
    <t xml:space="preserve">D­íi 1 n¨m </t>
  </si>
  <si>
    <t>21. Vèn chñ së h÷u</t>
  </si>
  <si>
    <t xml:space="preserve">  2. Các khoản tương đương tiền </t>
  </si>
  <si>
    <t>21.1. B¶ng ®èi chiÕu biÕn ®éng cña vèn chñ së h÷u</t>
  </si>
  <si>
    <t>Lîi nhuËn sau thuÕ ch­a ph©n phèi</t>
  </si>
  <si>
    <t>Quü ®Çu t­ ph¸t triÓn</t>
  </si>
  <si>
    <t>Quü kh¸c thuéc vèn chñ së h÷u</t>
  </si>
  <si>
    <t>Chªnh lÖch tû gi¸ hèi ®o¸i</t>
  </si>
  <si>
    <t>Sè d­ ®Çu n¨m tr­íc</t>
  </si>
  <si>
    <t>- T¨ng vèn trong n¨m tr­íc</t>
  </si>
  <si>
    <t>- Lîi nhuËn t¨ng trong n¨m tr­íc</t>
  </si>
  <si>
    <t>- Chia cæ tøc n¨m tr­íc</t>
  </si>
  <si>
    <t>Chenh lech</t>
  </si>
  <si>
    <t xml:space="preserve">  3. Thuế và các khoản khác phải thu Nhà nước   </t>
  </si>
  <si>
    <t xml:space="preserve">    - Giá trị hao mòn luỹ kế  ( * ) </t>
  </si>
  <si>
    <t>Sè d­ cuèi n¨m tr­íc</t>
  </si>
  <si>
    <t>Sè d­ ®Çu n¨m nay</t>
  </si>
  <si>
    <t>T¨ng trong n¨m</t>
  </si>
  <si>
    <t>- T¨ng vèn n¨m nay</t>
  </si>
  <si>
    <t>- Lîi nhuËn t¨ng trong n¨m</t>
  </si>
  <si>
    <t>- Chia cæ tøc n¨m nay</t>
  </si>
  <si>
    <t>Sè d­ cuèi n¨m nay</t>
  </si>
  <si>
    <t>21.2.Chi tiÕt vèn ®Çu t­ cña chñ së h÷u</t>
  </si>
  <si>
    <t>24. Doanh thu</t>
  </si>
  <si>
    <t>24.1. Doanh thu b¸n hµng vµ cung cÊp dÞch vô</t>
  </si>
  <si>
    <t>- Tæng doanh thu</t>
  </si>
  <si>
    <t>+ Doanh thu b¸n hµng</t>
  </si>
  <si>
    <t>+ Doanh thu cung cÊp dÞch vô</t>
  </si>
  <si>
    <t>- C¸c kho¶n gi¶m trõ doanh thu</t>
  </si>
  <si>
    <t>+ ChiÕt khÊu th­¬ng m¹i</t>
  </si>
  <si>
    <t>+ Gi¶m gi¸ hµng b¸n</t>
  </si>
  <si>
    <t>- Doanh thu thuÇn</t>
  </si>
  <si>
    <t>+ Doanh thu thuÇn trao ®æi hµng ho¸</t>
  </si>
  <si>
    <t>+ Doanh thu thuÇn trao ®æi dÞch vô</t>
  </si>
  <si>
    <t>24.2. Doanh thu ho¹t ®éng tµi chÝnh</t>
  </si>
  <si>
    <t>- L·i tiÒn göi, tiÒn cho vay</t>
  </si>
  <si>
    <t>- Doanh thu ho¹t ®éng tµi chÝnh kh¸c</t>
  </si>
  <si>
    <t>25. Gi¸ vèn hµng b¸n</t>
  </si>
  <si>
    <t>- Gi¸ vèn cña thµnh phÈm ®· cung cÊp</t>
  </si>
  <si>
    <t>- Gi¸ vèn cña hµng ho¸ ®· cung cÊp</t>
  </si>
  <si>
    <t>- Gi¸ vèn cña dÞch vô ®· cung cÊp</t>
  </si>
  <si>
    <t>26. Chi phÝ tµi chÝnh</t>
  </si>
  <si>
    <t>- Chi phÝ ho¹t ®éng tµi chÝnh</t>
  </si>
  <si>
    <t>27. Chi phÝ s¶n xuÊt kinh doanh theo yÕu tè</t>
  </si>
  <si>
    <t>27.1. Chi phÝ nguyªn liÖu, vËt liÖu</t>
  </si>
  <si>
    <t>27.2. Chi phÝ nh©n c«ng</t>
  </si>
  <si>
    <t>27.3. Chi phÝ khÊu hao tµi s¶n cè ®Þnh</t>
  </si>
  <si>
    <t>27.4. Chi phÝ dÞch vô mua ngoµi</t>
  </si>
  <si>
    <t>27.5. Chi phÝ kh¸c b»ng tiÒn</t>
  </si>
  <si>
    <t>28. ThuÕ TNDN ph¶i nép vµ lîi nhuËn sau thuÕ trong kú</t>
  </si>
  <si>
    <t>29. TiÒn vµ c¸c kho¶n t­¬ng ®­¬ng tiÒn cuèi kú</t>
  </si>
  <si>
    <t>29.1. C¸c giao dÞch kh«ng b»ng tiÒn</t>
  </si>
  <si>
    <t>- Mua tµi s¶n b»ng c¸ch nhËn c¸c kho¶n nî liªn quan trùc tiÕp hoÆc th«ng qua nghiÖp vô cho thuª tµi chÝnh:</t>
  </si>
  <si>
    <t>VII. Nh÷ng th«ng tin kh¸c</t>
  </si>
  <si>
    <t>1. Nh÷ng kho¶n nî ngÉu nhiªn, kho¶n cam kÕt vµ nh÷ng th«ng tin tµi chÝnh kh¸c.</t>
  </si>
  <si>
    <t>2. Th«ng tin so s¸nh ( nh÷ng thay ®æi vÒ th«ng tin n¨m tr­íc ).</t>
  </si>
  <si>
    <t>- Nguyªn t¾c trÝch lËp c¸c kho¶n dù tr÷ c¸c quü tõ lîi nhuËn sau thuÕ: sau khi nép thuÕ TNDN vµ nép C«ng ty mÑ theo quyÕt ®Þnh giao kho¸n sè 181/TH ngµy 01/8/2005. C¸c quü cßn l¹i ph©n phèi theo ®iÒu lÖ cña C«ng ty.</t>
  </si>
  <si>
    <t xml:space="preserve">  NghiÖp vô kinh tÕ ph¸t sinh b»ng Ngo¹i tÖ ®­îc qui ®æi ra ®ång ViÖt Nam theo tû gi¸ b×nh qu©n liªn Ng©n hµng t¹i thêi ®iÓm ph¸t sinh nghiÖp vô. T¹i thêi ®iÓm cuèi n¨m c¸c kho¶n môc tiÒn tÖ cã gèc ngo¹i tÖ ®­îc qui ®æi theo tû gi¸ b×nh qu©n liªn Ng©n hµng do Ng©n hµng Nhµ n­íc ViÖt Nam c«ng bè t¹i ngµy kho¸ sæ niªn ®é kÕ to¸n. Chªnh lÖch tû gi¸ thùc tÕ ph¸t sinh trong kú vµ chªnh lÖch tû gi¸ do ®¸nh gi¸ l¹i sè d­ c¸c kho¶n môc tiÒn tÖ t¹i thêi ®iÓm cuèi n¨m ®­îc kÕt chuyÓn vµo doanh thu tµi chÝnh hoÆc chi phÝ tµi chÝnh trong n¨m tµi chÝnh ®ã.</t>
  </si>
  <si>
    <t>TiÒn NtÖ göi NH Hµng H¶i - TK ®¹i lý</t>
  </si>
  <si>
    <t>1122033</t>
  </si>
  <si>
    <t>TiÒn NtÖ göi NH NN &amp; PTNT - Q.4</t>
  </si>
  <si>
    <t>1123</t>
  </si>
  <si>
    <t>Vµng b¹c, kim khÝ quÝ ®¸ quÝ</t>
  </si>
  <si>
    <t>- 113</t>
  </si>
  <si>
    <t>TiÒn ®ang chuyÓn</t>
  </si>
  <si>
    <t>1131</t>
  </si>
  <si>
    <t>TiÒn ®ang chuyÓn tiÒn ViÖt nam</t>
  </si>
  <si>
    <t>1132</t>
  </si>
  <si>
    <t>TiÒn ®ang chuyÓn ngo¹i tÖ</t>
  </si>
  <si>
    <t>- 121</t>
  </si>
  <si>
    <t>VAN PHONG</t>
  </si>
  <si>
    <t>VINAFCO SAI GON</t>
  </si>
  <si>
    <t>Tiep van VINAFCO</t>
  </si>
  <si>
    <t>IFTC</t>
  </si>
  <si>
    <t>Bien VINAFCO</t>
  </si>
  <si>
    <t>Thep VINAFCO</t>
  </si>
  <si>
    <t>c. Quü trî cÊp mÊt viÖc lµm</t>
  </si>
  <si>
    <t>b. Chi tiÕt vèn ®Çu t­ cña chñ së h÷u</t>
  </si>
  <si>
    <t>VI. Th«ng tin bæ sung cho c¸c kho¶n môc tr×nh bµy trong B¸o c¸o kÕt qu¶ ho¹t ®éng kinh doanh</t>
  </si>
  <si>
    <t>25. Tæng doanh thu b¸n hµng vµ cung cÊp dÞch vô (M· sè 01)</t>
  </si>
  <si>
    <t>26. C¸c kho¶n gi¶m trõ doanh thu (M· sè 02)</t>
  </si>
  <si>
    <t>27. Doanh thu thuÇn vÒ b¸n hµng vµ cung cÊp dÞch vô (M· sè 10)</t>
  </si>
  <si>
    <t>28. Gi¸ vèn hµng b¸n (M· sè 11)</t>
  </si>
  <si>
    <t>29. Doanh thu ho¹t ®éng tµi chÝnh (M· sè 21)</t>
  </si>
  <si>
    <t>30. Chi phÝ tµi chÝnh (M· sè 22)</t>
  </si>
  <si>
    <t>31. Chi phÝ thuÕ TNDN hiÖn hµnh (M· sè 51)</t>
  </si>
  <si>
    <t>VII. Th«ng tin bæ sung cho c¸c kho¶n môc tr×nh bµy trong B¸o c¸o l­u chuyÓn tiÒn tÖ</t>
  </si>
  <si>
    <t>34. TiÒn vµ c¸c kho¶n t­¬ng ®­¬ng tiÒn cuèi kú</t>
  </si>
  <si>
    <t>VIII. Nh÷ng th«ng tin kh¸c</t>
  </si>
  <si>
    <t>C¸c giao dÞch kh«ng b»ng tiÒn</t>
  </si>
  <si>
    <t xml:space="preserve">14. C¸c nghiÖp vô dù phßng rñi ro hèi ®o¸i: Cuèi kú niªn ®é kÕ to¸n trÝch lËp dù phßng nÕu cã dÊu hiÖu biÕn ®éng gi¶m tû gi¸ cña thÞ tr­êng.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</si>
</sst>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  <numFmt numFmtId="176" formatCode="_(* #,##0_);_(* \(#,##0\);_(* &quot;-&quot;??_);_(@_)"/>
    <numFmt numFmtId="177" formatCode="_ * #,##0_)\ _$_ ;_ * \(#,##0\)\ _$_ ;_ * &quot;-&quot;??_)\ _$_ ;_ @_ "/>
    <numFmt numFmtId="178" formatCode="_-* #,##0\ _F_B_-;\-* #,##0\ _F_B_-;_-* &quot;-&quot;??\ _F_B_-;_-@_-"/>
    <numFmt numFmtId="179" formatCode="_ * #,##0_)_£_ ;_ * \(#,##0\)_£_ ;_ * &quot;-&quot;_)_£_ ;_ @_ "/>
    <numFmt numFmtId="180" formatCode="\$#,##0\ ;\(\$#,##0\)"/>
    <numFmt numFmtId="181" formatCode="#.##0"/>
    <numFmt numFmtId="182" formatCode="_-* #,##0.0\ _F_B_-;\-* #,##0.0\ _F_B_-;_-* &quot;-&quot;??\ _F_B_-;_-@_-"/>
    <numFmt numFmtId="183" formatCode="_-* #.##0.0\ _F_B_-;\-* #.##0.0\ _F_B_-;_-* &quot;-&quot;??\ _F_B_-;_-@_-"/>
    <numFmt numFmtId="184" formatCode="_-* #.##0.00\ _F_B_-;\-* #.##0.00\ _F_B_-;_-* &quot;-&quot;??\ _F_B_-;_-@_-"/>
    <numFmt numFmtId="185" formatCode="_(* #.##0_);_(* \(#.##0\);_(* &quot;-&quot;??_);_(@_)"/>
    <numFmt numFmtId="186" formatCode="0.0"/>
    <numFmt numFmtId="187" formatCode="_-* #.##0.000\ _F_B_-;\-* #.##0.000\ _F_B_-;_-* &quot;-&quot;??\ _F_B_-;_-@_-"/>
    <numFmt numFmtId="188" formatCode="_-* #.##0.\ _F_B_-;\-* #.##0.\ _F_B_-;_-* &quot;-&quot;??\ _F_B_-;_-@_-"/>
    <numFmt numFmtId="189" formatCode="_-* #.##.\ _F_B_-;\-* #.##.\ _F_B_-;_-* &quot;-&quot;??\ _F_B_-;_-@_ⴆ"/>
    <numFmt numFmtId="190" formatCode="_-* #,##0.000\ _F_B_-;\-* #,##0.000\ _F_B_-;_-* &quot;-&quot;??\ _F_B_-;_-@_-"/>
    <numFmt numFmtId="191" formatCode="_-* #.#.\ _F_B_-;\-* #.#.\ _F_B_-;_-* &quot;-&quot;??\ _F_B_-;_-@_ⴆ"/>
    <numFmt numFmtId="192" formatCode="_-* #.##0.00_-;\-* #.##0.00_-;_-* &quot;-&quot;??_-;_-@_-"/>
    <numFmt numFmtId="193" formatCode="_-* #.##0.00000_-;\-* #.##0.00000_-;_-* &quot;-&quot;?????_-;_-@_-"/>
    <numFmt numFmtId="194" formatCode="_(* #.##0.00_);_(* \(#.##0.00\);_(* &quot;-&quot;??_);_(@_)"/>
    <numFmt numFmtId="195" formatCode="0;[Red]0"/>
    <numFmt numFmtId="196" formatCode="0_);\(0\)"/>
    <numFmt numFmtId="197" formatCode="_-* #.##0\ _F_B_-;\-* #.##0\ _F_B_-;_-* &quot;-&quot;??\ _F_B_-;_-@_-"/>
    <numFmt numFmtId="198" formatCode="&quot;â&quot;#,##0_);\(&quot;â&quot;#,##0\)"/>
    <numFmt numFmtId="199" formatCode="&quot;â&quot;#,##0_);[Red]\(&quot;â&quot;#,##0\)"/>
    <numFmt numFmtId="200" formatCode="&quot;â&quot;#,##0.00_);\(&quot;â&quot;#,##0.00\)"/>
    <numFmt numFmtId="201" formatCode="&quot;â&quot;#,##0.00_);[Red]\(&quot;â&quot;#,##0.00\)"/>
    <numFmt numFmtId="202" formatCode="_(&quot;â&quot;* #,##0_);_(&quot;â&quot;* \(#,##0\);_(&quot;â&quot;* &quot;-&quot;_);_(@_)"/>
    <numFmt numFmtId="203" formatCode="_(&quot;â&quot;* #,##0.00_);_(&quot;â&quot;* \(#,##0.00\);_(&quot;â&quot;* &quot;-&quot;??_);_(@_)"/>
    <numFmt numFmtId="204" formatCode="_(* #,##0.0_);_(* \(#,##0.0\);_(* &quot;-&quot;??_);_(@_)"/>
    <numFmt numFmtId="205" formatCode="mm/dd/yy"/>
    <numFmt numFmtId="206" formatCode="m/d"/>
    <numFmt numFmtId="207" formatCode="_(* #,##0.000_);_(* \(#,##0.000\);_(* &quot;-&quot;??_);_(@_)"/>
    <numFmt numFmtId="208" formatCode="_(* #,##0.0000_);_(* \(#,##0.000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yyyy/mm/dd"/>
    <numFmt numFmtId="213" formatCode="_-* #,##0.0000\ _F_B_-;\-* #,##0.0000\ _F_B_-;_-* &quot;-&quot;??\ _F_B_-;_-@_-"/>
    <numFmt numFmtId="214" formatCode="_-* #,##0.00000\ _F_B_-;\-* #,##0.00000\ _F_B_-;_-* &quot;-&quot;??\ _F_B_-;_-@_-"/>
    <numFmt numFmtId="215" formatCode="_-* #,##0.000000\ _F_B_-;\-* #,##0.000000\ _F_B_-;_-* &quot;-&quot;??\ _F_B_-;_-@_-"/>
    <numFmt numFmtId="216" formatCode="_-* #,##0.0000000\ _F_B_-;\-* #,##0.0000000\ _F_B_-;_-* &quot;-&quot;??\ _F_B_-;_-@_-"/>
    <numFmt numFmtId="217" formatCode="_-* #,##0.00000000\ _F_B_-;\-* #,##0.00000000\ _F_B_-;_-* &quot;-&quot;??\ _F_B_-;_-@_-"/>
    <numFmt numFmtId="218" formatCode="\ @"/>
    <numFmt numFmtId="219" formatCode="#,##0\ \ "/>
  </numFmts>
  <fonts count="73">
    <font>
      <sz val="12"/>
      <name val=".VnArial Narrow"/>
      <family val="0"/>
    </font>
    <font>
      <sz val="12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sz val="10"/>
      <name val=".VnTimeH"/>
      <family val="2"/>
    </font>
    <font>
      <i/>
      <sz val="12"/>
      <name val=".VnTime"/>
      <family val="2"/>
    </font>
    <font>
      <b/>
      <i/>
      <sz val="12"/>
      <name val=".VnTime"/>
      <family val="2"/>
    </font>
    <font>
      <b/>
      <sz val="14"/>
      <name val=".VnTimeH"/>
      <family val="2"/>
    </font>
    <font>
      <b/>
      <sz val="10"/>
      <name val=".VnTimeH"/>
      <family val="2"/>
    </font>
    <font>
      <b/>
      <sz val="10"/>
      <name val=".VnTime"/>
      <family val="2"/>
    </font>
    <font>
      <sz val="10"/>
      <name val=".VnTime"/>
      <family val="2"/>
    </font>
    <font>
      <sz val="12"/>
      <color indexed="10"/>
      <name val=".VnTime"/>
      <family val="2"/>
    </font>
    <font>
      <sz val="13"/>
      <name val=".VnTime"/>
      <family val="2"/>
    </font>
    <font>
      <sz val="10"/>
      <color indexed="10"/>
      <name val=".VnTime"/>
      <family val="2"/>
    </font>
    <font>
      <sz val="13"/>
      <name val=".VnArial Narrow"/>
      <family val="2"/>
    </font>
    <font>
      <sz val="12"/>
      <color indexed="12"/>
      <name val=".VnTime"/>
      <family val="2"/>
    </font>
    <font>
      <b/>
      <sz val="11"/>
      <name val=".VnTime"/>
      <family val="2"/>
    </font>
    <font>
      <b/>
      <sz val="14"/>
      <name val=".VnTime"/>
      <family val="2"/>
    </font>
    <font>
      <i/>
      <sz val="10"/>
      <name val=".VnTime"/>
      <family val="2"/>
    </font>
    <font>
      <sz val="10"/>
      <name val="Arial"/>
      <family val="2"/>
    </font>
    <font>
      <sz val="12"/>
      <name val="¹UAAA¼"/>
      <family val="3"/>
    </font>
    <font>
      <sz val="12"/>
      <name val=".Vn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name val=".VnTime"/>
      <family val="2"/>
    </font>
    <font>
      <b/>
      <sz val="11"/>
      <name val=".VnTimeH"/>
      <family val="2"/>
    </font>
    <font>
      <u val="single"/>
      <sz val="12"/>
      <color indexed="36"/>
      <name val=".VnTime"/>
      <family val="0"/>
    </font>
    <font>
      <u val="single"/>
      <sz val="12"/>
      <color indexed="12"/>
      <name val="VNtimes new roman"/>
      <family val="0"/>
    </font>
    <font>
      <sz val="11"/>
      <name val=".VnArial Narrow"/>
      <family val="0"/>
    </font>
    <font>
      <sz val="10"/>
      <name val=".VnArial"/>
      <family val="2"/>
    </font>
    <font>
      <b/>
      <sz val="10"/>
      <name val=".VnArial"/>
      <family val="2"/>
    </font>
    <font>
      <b/>
      <sz val="10"/>
      <name val="VNI-Times"/>
      <family val="0"/>
    </font>
    <font>
      <b/>
      <sz val="10"/>
      <color indexed="8"/>
      <name val=".VnTime"/>
      <family val="2"/>
    </font>
    <font>
      <sz val="11"/>
      <color indexed="10"/>
      <name val=".VnTime"/>
      <family val="2"/>
    </font>
    <font>
      <i/>
      <sz val="11"/>
      <name val=".VnTime"/>
      <family val="2"/>
    </font>
    <font>
      <b/>
      <i/>
      <sz val="11"/>
      <name val=".VnTime"/>
      <family val="2"/>
    </font>
    <font>
      <b/>
      <sz val="10"/>
      <color indexed="10"/>
      <name val=".VnTime"/>
      <family val="2"/>
    </font>
    <font>
      <sz val="8"/>
      <name val=".VnArial Narrow"/>
      <family val="0"/>
    </font>
    <font>
      <b/>
      <sz val="13"/>
      <name val=".VnTimeH"/>
      <family val="2"/>
    </font>
    <font>
      <sz val="8"/>
      <name val=".VnTime"/>
      <family val="2"/>
    </font>
    <font>
      <b/>
      <sz val="8"/>
      <name val=".VnTime"/>
      <family val="2"/>
    </font>
    <font>
      <b/>
      <sz val="11"/>
      <color indexed="8"/>
      <name val=".VnTime"/>
      <family val="2"/>
    </font>
    <font>
      <i/>
      <sz val="8"/>
      <name val=".VnTime"/>
      <family val="2"/>
    </font>
    <font>
      <sz val="11"/>
      <color indexed="12"/>
      <name val=".VnTime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</borders>
  <cellStyleXfs count="3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19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12" fillId="0" borderId="0">
      <alignment/>
      <protection/>
    </xf>
    <xf numFmtId="9" fontId="0" fillId="0" borderId="0" applyFont="0" applyFill="0" applyBorder="0" applyAlignment="0" applyProtection="0"/>
    <xf numFmtId="0" fontId="19" fillId="0" borderId="1" applyNumberFormat="0" applyFont="0" applyFill="0" applyAlignment="0" applyProtection="0"/>
  </cellStyleXfs>
  <cellXfs count="5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1" fillId="0" borderId="2" xfId="21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0" fillId="0" borderId="2" xfId="21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0" fontId="14" fillId="0" borderId="0" xfId="0" applyFont="1" applyAlignment="1">
      <alignment/>
    </xf>
    <xf numFmtId="176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0" xfId="21" applyNumberFormat="1" applyFont="1" applyBorder="1" applyAlignment="1">
      <alignment/>
    </xf>
    <xf numFmtId="3" fontId="2" fillId="0" borderId="0" xfId="21" applyNumberFormat="1" applyFont="1" applyBorder="1" applyAlignment="1">
      <alignment/>
    </xf>
    <xf numFmtId="0" fontId="19" fillId="0" borderId="0" xfId="15">
      <alignment/>
      <protection/>
    </xf>
    <xf numFmtId="3" fontId="2" fillId="0" borderId="0" xfId="0" applyNumberFormat="1" applyFont="1" applyBorder="1" applyAlignment="1">
      <alignment/>
    </xf>
    <xf numFmtId="0" fontId="0" fillId="0" borderId="0" xfId="0" applyAlignment="1" applyProtection="1">
      <alignment/>
      <protection hidden="1" locked="0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 quotePrefix="1">
      <alignment/>
    </xf>
    <xf numFmtId="3" fontId="2" fillId="0" borderId="8" xfId="0" applyNumberFormat="1" applyFont="1" applyBorder="1" applyAlignment="1">
      <alignment/>
    </xf>
    <xf numFmtId="3" fontId="1" fillId="0" borderId="9" xfId="0" applyNumberFormat="1" applyFont="1" applyBorder="1" applyAlignment="1" quotePrefix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3" fillId="0" borderId="2" xfId="21" applyNumberFormat="1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left"/>
    </xf>
    <xf numFmtId="3" fontId="9" fillId="0" borderId="2" xfId="21" applyNumberFormat="1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3" fontId="29" fillId="0" borderId="0" xfId="0" applyNumberFormat="1" applyFont="1" applyAlignment="1">
      <alignment/>
    </xf>
    <xf numFmtId="3" fontId="1" fillId="0" borderId="0" xfId="0" applyNumberFormat="1" applyFont="1" applyBorder="1" applyAlignment="1" quotePrefix="1">
      <alignment/>
    </xf>
    <xf numFmtId="3" fontId="1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76" fontId="15" fillId="0" borderId="0" xfId="21" applyNumberFormat="1" applyFont="1" applyBorder="1" applyAlignment="1">
      <alignment/>
    </xf>
    <xf numFmtId="176" fontId="1" fillId="0" borderId="0" xfId="21" applyNumberFormat="1" applyFont="1" applyBorder="1" applyAlignment="1">
      <alignment/>
    </xf>
    <xf numFmtId="176" fontId="15" fillId="2" borderId="0" xfId="21" applyNumberFormat="1" applyFont="1" applyFill="1" applyBorder="1" applyAlignment="1">
      <alignment/>
    </xf>
    <xf numFmtId="3" fontId="1" fillId="0" borderId="12" xfId="0" applyNumberFormat="1" applyFont="1" applyBorder="1" applyAlignment="1" quotePrefix="1">
      <alignment/>
    </xf>
    <xf numFmtId="176" fontId="2" fillId="0" borderId="0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 quotePrefix="1">
      <alignment horizontal="justify" vertical="center" wrapText="1"/>
    </xf>
    <xf numFmtId="0" fontId="2" fillId="0" borderId="0" xfId="0" applyFont="1" applyAlignment="1" quotePrefix="1">
      <alignment horizontal="justify" vertical="center" wrapText="1"/>
    </xf>
    <xf numFmtId="0" fontId="2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right" vertical="center" wrapText="1"/>
    </xf>
    <xf numFmtId="0" fontId="1" fillId="0" borderId="0" xfId="0" applyFont="1" applyAlignment="1" quotePrefix="1">
      <alignment vertical="center" wrapText="1"/>
    </xf>
    <xf numFmtId="0" fontId="2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3" fontId="5" fillId="0" borderId="18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3" fontId="10" fillId="0" borderId="15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176" fontId="10" fillId="0" borderId="0" xfId="0" applyNumberFormat="1" applyFont="1" applyBorder="1" applyAlignment="1">
      <alignment horizontal="right"/>
    </xf>
    <xf numFmtId="0" fontId="10" fillId="0" borderId="0" xfId="0" applyFont="1" applyAlignment="1" quotePrefix="1">
      <alignment horizontal="right" vertical="center" wrapText="1"/>
    </xf>
    <xf numFmtId="176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 quotePrefix="1">
      <alignment horizontal="right" vertical="center" wrapText="1"/>
    </xf>
    <xf numFmtId="3" fontId="10" fillId="0" borderId="2" xfId="0" applyNumberFormat="1" applyFont="1" applyFill="1" applyBorder="1" applyAlignment="1">
      <alignment/>
    </xf>
    <xf numFmtId="3" fontId="10" fillId="0" borderId="2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0" fillId="0" borderId="2" xfId="21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10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6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178" fontId="37" fillId="0" borderId="0" xfId="21" applyNumberFormat="1" applyFont="1" applyAlignment="1">
      <alignment/>
    </xf>
    <xf numFmtId="178" fontId="0" fillId="0" borderId="0" xfId="21" applyNumberFormat="1" applyAlignment="1">
      <alignment/>
    </xf>
    <xf numFmtId="178" fontId="39" fillId="0" borderId="0" xfId="21" applyNumberFormat="1" applyFont="1" applyAlignment="1">
      <alignment/>
    </xf>
    <xf numFmtId="178" fontId="1" fillId="0" borderId="0" xfId="21" applyNumberFormat="1" applyFont="1" applyAlignment="1">
      <alignment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 quotePrefix="1">
      <alignment horizontal="justify" vertical="center" wrapText="1"/>
    </xf>
    <xf numFmtId="0" fontId="16" fillId="0" borderId="0" xfId="0" applyFont="1" applyAlignment="1">
      <alignment/>
    </xf>
    <xf numFmtId="0" fontId="24" fillId="0" borderId="0" xfId="0" applyFont="1" applyAlignment="1" quotePrefix="1">
      <alignment/>
    </xf>
    <xf numFmtId="0" fontId="16" fillId="0" borderId="0" xfId="0" applyFont="1" applyAlignment="1" quotePrefix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176" fontId="24" fillId="0" borderId="0" xfId="0" applyNumberFormat="1" applyFont="1" applyBorder="1" applyAlignment="1">
      <alignment horizontal="right"/>
    </xf>
    <xf numFmtId="178" fontId="39" fillId="0" borderId="0" xfId="21" applyNumberFormat="1" applyFont="1" applyBorder="1" applyAlignment="1">
      <alignment horizontal="right"/>
    </xf>
    <xf numFmtId="0" fontId="24" fillId="0" borderId="0" xfId="0" applyFont="1" applyAlignment="1" quotePrefix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176" fontId="16" fillId="0" borderId="0" xfId="0" applyNumberFormat="1" applyFont="1" applyBorder="1" applyAlignment="1">
      <alignment horizontal="right"/>
    </xf>
    <xf numFmtId="178" fontId="40" fillId="0" borderId="0" xfId="21" applyNumberFormat="1" applyFont="1" applyBorder="1" applyAlignment="1">
      <alignment horizontal="right"/>
    </xf>
    <xf numFmtId="178" fontId="40" fillId="0" borderId="0" xfId="21" applyNumberFormat="1" applyFont="1" applyAlignment="1">
      <alignment/>
    </xf>
    <xf numFmtId="178" fontId="2" fillId="0" borderId="0" xfId="21" applyNumberFormat="1" applyFont="1" applyAlignment="1">
      <alignment/>
    </xf>
    <xf numFmtId="0" fontId="16" fillId="0" borderId="0" xfId="0" applyFont="1" applyAlignment="1" quotePrefix="1">
      <alignment horizontal="right" vertical="center" wrapText="1"/>
    </xf>
    <xf numFmtId="0" fontId="24" fillId="0" borderId="0" xfId="0" applyFont="1" applyAlignment="1" quotePrefix="1">
      <alignment vertical="center" wrapText="1"/>
    </xf>
    <xf numFmtId="0" fontId="16" fillId="0" borderId="0" xfId="0" applyFont="1" applyAlignment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3" fontId="24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4" fillId="0" borderId="18" xfId="0" applyNumberFormat="1" applyFont="1" applyBorder="1" applyAlignment="1">
      <alignment horizontal="right"/>
    </xf>
    <xf numFmtId="3" fontId="41" fillId="2" borderId="22" xfId="0" applyNumberFormat="1" applyFont="1" applyFill="1" applyBorder="1" applyAlignment="1">
      <alignment vertical="center" wrapText="1"/>
    </xf>
    <xf numFmtId="3" fontId="41" fillId="2" borderId="23" xfId="0" applyNumberFormat="1" applyFont="1" applyFill="1" applyBorder="1" applyAlignment="1">
      <alignment vertical="center" wrapText="1"/>
    </xf>
    <xf numFmtId="3" fontId="41" fillId="2" borderId="15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/>
    </xf>
    <xf numFmtId="178" fontId="10" fillId="0" borderId="0" xfId="21" applyNumberFormat="1" applyFont="1" applyAlignment="1">
      <alignment/>
    </xf>
    <xf numFmtId="3" fontId="41" fillId="2" borderId="24" xfId="0" applyNumberFormat="1" applyFont="1" applyFill="1" applyBorder="1" applyAlignment="1">
      <alignment vertical="center" wrapText="1"/>
    </xf>
    <xf numFmtId="3" fontId="41" fillId="2" borderId="18" xfId="0" applyNumberFormat="1" applyFont="1" applyFill="1" applyBorder="1" applyAlignment="1">
      <alignment vertical="center" wrapText="1"/>
    </xf>
    <xf numFmtId="3" fontId="41" fillId="2" borderId="19" xfId="0" applyNumberFormat="1" applyFont="1" applyFill="1" applyBorder="1" applyAlignment="1">
      <alignment vertical="center" wrapText="1"/>
    </xf>
    <xf numFmtId="3" fontId="16" fillId="0" borderId="16" xfId="0" applyNumberFormat="1" applyFont="1" applyBorder="1" applyAlignment="1">
      <alignment horizontal="center"/>
    </xf>
    <xf numFmtId="3" fontId="24" fillId="0" borderId="17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/>
    </xf>
    <xf numFmtId="3" fontId="24" fillId="0" borderId="5" xfId="0" applyNumberFormat="1" applyFont="1" applyBorder="1" applyAlignment="1">
      <alignment/>
    </xf>
    <xf numFmtId="3" fontId="24" fillId="0" borderId="3" xfId="0" applyNumberFormat="1" applyFont="1" applyBorder="1" applyAlignment="1">
      <alignment/>
    </xf>
    <xf numFmtId="3" fontId="24" fillId="0" borderId="6" xfId="0" applyNumberFormat="1" applyFont="1" applyBorder="1" applyAlignment="1">
      <alignment/>
    </xf>
    <xf numFmtId="3" fontId="24" fillId="0" borderId="8" xfId="0" applyNumberFormat="1" applyFont="1" applyBorder="1" applyAlignment="1" quotePrefix="1">
      <alignment/>
    </xf>
    <xf numFmtId="3" fontId="24" fillId="0" borderId="7" xfId="0" applyNumberFormat="1" applyFont="1" applyBorder="1" applyAlignment="1">
      <alignment/>
    </xf>
    <xf numFmtId="178" fontId="39" fillId="0" borderId="0" xfId="21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3" fontId="24" fillId="0" borderId="0" xfId="0" applyNumberFormat="1" applyFont="1" applyBorder="1" applyAlignment="1" quotePrefix="1">
      <alignment/>
    </xf>
    <xf numFmtId="3" fontId="24" fillId="0" borderId="0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3" fontId="24" fillId="0" borderId="0" xfId="21" applyNumberFormat="1" applyFont="1" applyBorder="1" applyAlignment="1">
      <alignment/>
    </xf>
    <xf numFmtId="3" fontId="16" fillId="0" borderId="0" xfId="21" applyNumberFormat="1" applyFont="1" applyBorder="1" applyAlignment="1">
      <alignment/>
    </xf>
    <xf numFmtId="0" fontId="16" fillId="0" borderId="0" xfId="0" applyFont="1" applyBorder="1" applyAlignment="1">
      <alignment/>
    </xf>
    <xf numFmtId="178" fontId="39" fillId="0" borderId="2" xfId="21" applyNumberFormat="1" applyFont="1" applyBorder="1" applyAlignment="1">
      <alignment/>
    </xf>
    <xf numFmtId="3" fontId="41" fillId="2" borderId="19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Border="1" applyAlignment="1">
      <alignment/>
    </xf>
    <xf numFmtId="178" fontId="40" fillId="0" borderId="0" xfId="21" applyNumberFormat="1" applyFont="1" applyBorder="1" applyAlignment="1">
      <alignment/>
    </xf>
    <xf numFmtId="178" fontId="42" fillId="0" borderId="0" xfId="21" applyNumberFormat="1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178" fontId="2" fillId="0" borderId="0" xfId="21" applyNumberFormat="1" applyFont="1" applyBorder="1" applyAlignment="1">
      <alignment/>
    </xf>
    <xf numFmtId="0" fontId="16" fillId="0" borderId="14" xfId="0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/>
    </xf>
    <xf numFmtId="3" fontId="24" fillId="0" borderId="12" xfId="0" applyNumberFormat="1" applyFont="1" applyBorder="1" applyAlignment="1" quotePrefix="1">
      <alignment/>
    </xf>
    <xf numFmtId="0" fontId="16" fillId="0" borderId="12" xfId="0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/>
    </xf>
    <xf numFmtId="176" fontId="43" fillId="0" borderId="0" xfId="21" applyNumberFormat="1" applyFont="1" applyBorder="1" applyAlignment="1">
      <alignment/>
    </xf>
    <xf numFmtId="176" fontId="24" fillId="0" borderId="0" xfId="21" applyNumberFormat="1" applyFont="1" applyBorder="1" applyAlignment="1">
      <alignment/>
    </xf>
    <xf numFmtId="176" fontId="43" fillId="2" borderId="0" xfId="21" applyNumberFormat="1" applyFont="1" applyFill="1" applyBorder="1" applyAlignment="1">
      <alignment/>
    </xf>
    <xf numFmtId="178" fontId="40" fillId="0" borderId="0" xfId="21" applyNumberFormat="1" applyFont="1" applyAlignment="1">
      <alignment horizontal="center"/>
    </xf>
    <xf numFmtId="178" fontId="42" fillId="0" borderId="0" xfId="21" applyNumberFormat="1" applyFont="1" applyAlignment="1">
      <alignment/>
    </xf>
    <xf numFmtId="178" fontId="5" fillId="0" borderId="0" xfId="21" applyNumberFormat="1" applyFont="1" applyAlignment="1">
      <alignment/>
    </xf>
    <xf numFmtId="3" fontId="16" fillId="0" borderId="8" xfId="0" applyNumberFormat="1" applyFont="1" applyBorder="1" applyAlignment="1" quotePrefix="1">
      <alignment/>
    </xf>
    <xf numFmtId="3" fontId="16" fillId="0" borderId="7" xfId="0" applyNumberFormat="1" applyFont="1" applyBorder="1" applyAlignment="1">
      <alignment/>
    </xf>
    <xf numFmtId="3" fontId="16" fillId="0" borderId="9" xfId="0" applyNumberFormat="1" applyFont="1" applyBorder="1" applyAlignment="1" quotePrefix="1">
      <alignment/>
    </xf>
    <xf numFmtId="3" fontId="16" fillId="0" borderId="10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3" fontId="36" fillId="0" borderId="2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36" fillId="0" borderId="2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50" fillId="0" borderId="0" xfId="0" applyFont="1" applyAlignment="1">
      <alignment/>
    </xf>
    <xf numFmtId="0" fontId="44" fillId="0" borderId="0" xfId="0" applyFont="1" applyAlignment="1">
      <alignment/>
    </xf>
    <xf numFmtId="0" fontId="51" fillId="0" borderId="0" xfId="0" applyFont="1" applyAlignment="1">
      <alignment/>
    </xf>
    <xf numFmtId="3" fontId="49" fillId="0" borderId="2" xfId="21" applyNumberFormat="1" applyFont="1" applyBorder="1" applyAlignment="1">
      <alignment/>
    </xf>
    <xf numFmtId="3" fontId="56" fillId="0" borderId="2" xfId="21" applyNumberFormat="1" applyFont="1" applyBorder="1" applyAlignment="1">
      <alignment/>
    </xf>
    <xf numFmtId="0" fontId="45" fillId="0" borderId="0" xfId="0" applyFont="1" applyAlignment="1">
      <alignment/>
    </xf>
    <xf numFmtId="0" fontId="51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9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47" fillId="0" borderId="0" xfId="0" applyFont="1" applyAlignment="1">
      <alignment horizontal="left"/>
    </xf>
    <xf numFmtId="0" fontId="45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64" fillId="0" borderId="0" xfId="0" applyFont="1" applyAlignment="1">
      <alignment/>
    </xf>
    <xf numFmtId="176" fontId="66" fillId="0" borderId="25" xfId="21" applyNumberFormat="1" applyFont="1" applyBorder="1" applyAlignment="1">
      <alignment horizontal="center" vertical="center" wrapText="1"/>
    </xf>
    <xf numFmtId="176" fontId="54" fillId="0" borderId="25" xfId="21" applyNumberFormat="1" applyFont="1" applyBorder="1" applyAlignment="1">
      <alignment horizontal="center" vertical="center" wrapText="1"/>
    </xf>
    <xf numFmtId="176" fontId="54" fillId="0" borderId="14" xfId="21" applyNumberFormat="1" applyFont="1" applyBorder="1" applyAlignment="1">
      <alignment horizontal="center" vertical="center" wrapText="1"/>
    </xf>
    <xf numFmtId="1" fontId="47" fillId="0" borderId="2" xfId="21" applyNumberFormat="1" applyFont="1" applyBorder="1" applyAlignment="1">
      <alignment horizontal="center" vertical="center" wrapText="1"/>
    </xf>
    <xf numFmtId="176" fontId="49" fillId="0" borderId="26" xfId="21" applyNumberFormat="1" applyFont="1" applyBorder="1" applyAlignment="1">
      <alignment/>
    </xf>
    <xf numFmtId="1" fontId="49" fillId="0" borderId="2" xfId="21" applyNumberFormat="1" applyFont="1" applyBorder="1" applyAlignment="1">
      <alignment horizontal="center" vertical="center" wrapText="1"/>
    </xf>
    <xf numFmtId="1" fontId="49" fillId="0" borderId="2" xfId="21" applyNumberFormat="1" applyFont="1" applyBorder="1" applyAlignment="1">
      <alignment horizontal="center"/>
    </xf>
    <xf numFmtId="3" fontId="46" fillId="0" borderId="0" xfId="0" applyNumberFormat="1" applyFont="1" applyAlignment="1">
      <alignment/>
    </xf>
    <xf numFmtId="176" fontId="56" fillId="0" borderId="26" xfId="21" applyNumberFormat="1" applyFont="1" applyBorder="1" applyAlignment="1">
      <alignment/>
    </xf>
    <xf numFmtId="1" fontId="47" fillId="0" borderId="2" xfId="21" applyNumberFormat="1" applyFont="1" applyBorder="1" applyAlignment="1">
      <alignment horizontal="center"/>
    </xf>
    <xf numFmtId="176" fontId="49" fillId="0" borderId="2" xfId="21" applyNumberFormat="1" applyFont="1" applyBorder="1" applyAlignment="1">
      <alignment horizontal="center"/>
    </xf>
    <xf numFmtId="3" fontId="55" fillId="0" borderId="2" xfId="21" applyNumberFormat="1" applyFont="1" applyBorder="1" applyAlignment="1">
      <alignment/>
    </xf>
    <xf numFmtId="176" fontId="49" fillId="0" borderId="27" xfId="21" applyNumberFormat="1" applyFont="1" applyBorder="1" applyAlignment="1">
      <alignment/>
    </xf>
    <xf numFmtId="1" fontId="44" fillId="0" borderId="2" xfId="21" applyNumberFormat="1" applyFont="1" applyBorder="1" applyAlignment="1">
      <alignment horizontal="center" vertical="center" wrapText="1"/>
    </xf>
    <xf numFmtId="1" fontId="44" fillId="0" borderId="2" xfId="21" applyNumberFormat="1" applyFont="1" applyBorder="1" applyAlignment="1">
      <alignment horizontal="center"/>
    </xf>
    <xf numFmtId="176" fontId="49" fillId="0" borderId="26" xfId="21" applyNumberFormat="1" applyFont="1" applyBorder="1" applyAlignment="1">
      <alignment horizontal="left"/>
    </xf>
    <xf numFmtId="176" fontId="49" fillId="0" borderId="26" xfId="21" applyNumberFormat="1" applyFont="1" applyBorder="1" applyAlignment="1">
      <alignment/>
    </xf>
    <xf numFmtId="1" fontId="49" fillId="0" borderId="28" xfId="21" applyNumberFormat="1" applyFont="1" applyBorder="1" applyAlignment="1">
      <alignment horizontal="center" vertical="center" wrapText="1"/>
    </xf>
    <xf numFmtId="176" fontId="44" fillId="0" borderId="25" xfId="21" applyNumberFormat="1" applyFont="1" applyBorder="1" applyAlignment="1">
      <alignment horizontal="center"/>
    </xf>
    <xf numFmtId="1" fontId="44" fillId="0" borderId="14" xfId="21" applyNumberFormat="1" applyFont="1" applyBorder="1" applyAlignment="1">
      <alignment horizontal="center" vertical="center" wrapText="1"/>
    </xf>
    <xf numFmtId="1" fontId="44" fillId="0" borderId="14" xfId="21" applyNumberFormat="1" applyFont="1" applyBorder="1" applyAlignment="1">
      <alignment horizontal="center"/>
    </xf>
    <xf numFmtId="176" fontId="44" fillId="0" borderId="14" xfId="21" applyNumberFormat="1" applyFont="1" applyBorder="1" applyAlignment="1">
      <alignment horizontal="center"/>
    </xf>
    <xf numFmtId="176" fontId="44" fillId="0" borderId="24" xfId="21" applyNumberFormat="1" applyFont="1" applyBorder="1" applyAlignment="1">
      <alignment horizontal="center" vertical="center"/>
    </xf>
    <xf numFmtId="176" fontId="47" fillId="0" borderId="2" xfId="21" applyNumberFormat="1" applyFont="1" applyBorder="1" applyAlignment="1">
      <alignment horizontal="center"/>
    </xf>
    <xf numFmtId="176" fontId="44" fillId="0" borderId="26" xfId="21" applyNumberFormat="1" applyFont="1" applyBorder="1" applyAlignment="1">
      <alignment horizontal="left"/>
    </xf>
    <xf numFmtId="3" fontId="44" fillId="0" borderId="2" xfId="21" applyNumberFormat="1" applyFont="1" applyBorder="1" applyAlignment="1">
      <alignment/>
    </xf>
    <xf numFmtId="176" fontId="47" fillId="2" borderId="26" xfId="21" applyNumberFormat="1" applyFont="1" applyFill="1" applyBorder="1" applyAlignment="1">
      <alignment/>
    </xf>
    <xf numFmtId="176" fontId="49" fillId="2" borderId="26" xfId="21" applyNumberFormat="1" applyFont="1" applyFill="1" applyBorder="1" applyAlignment="1">
      <alignment/>
    </xf>
    <xf numFmtId="176" fontId="49" fillId="0" borderId="2" xfId="21" applyNumberFormat="1" applyFont="1" applyBorder="1" applyAlignment="1">
      <alignment/>
    </xf>
    <xf numFmtId="176" fontId="44" fillId="0" borderId="25" xfId="21" applyNumberFormat="1" applyFont="1" applyBorder="1" applyAlignment="1">
      <alignment/>
    </xf>
    <xf numFmtId="176" fontId="44" fillId="0" borderId="14" xfId="21" applyNumberFormat="1" applyFont="1" applyBorder="1" applyAlignment="1">
      <alignment/>
    </xf>
    <xf numFmtId="176" fontId="45" fillId="0" borderId="0" xfId="21" applyNumberFormat="1" applyFont="1" applyBorder="1" applyAlignment="1">
      <alignment horizontal="center"/>
    </xf>
    <xf numFmtId="176" fontId="44" fillId="0" borderId="14" xfId="21" applyNumberFormat="1" applyFont="1" applyBorder="1" applyAlignment="1">
      <alignment horizontal="center" vertical="center" wrapText="1"/>
    </xf>
    <xf numFmtId="176" fontId="49" fillId="0" borderId="4" xfId="21" applyNumberFormat="1" applyFont="1" applyBorder="1" applyAlignment="1">
      <alignment horizontal="left"/>
    </xf>
    <xf numFmtId="176" fontId="49" fillId="0" borderId="6" xfId="21" applyNumberFormat="1" applyFont="1" applyBorder="1" applyAlignment="1">
      <alignment horizontal="center"/>
    </xf>
    <xf numFmtId="176" fontId="49" fillId="0" borderId="8" xfId="21" applyNumberFormat="1" applyFont="1" applyBorder="1" applyAlignment="1">
      <alignment horizontal="left"/>
    </xf>
    <xf numFmtId="176" fontId="49" fillId="0" borderId="29" xfId="21" applyNumberFormat="1" applyFont="1" applyBorder="1" applyAlignment="1">
      <alignment horizontal="center"/>
    </xf>
    <xf numFmtId="176" fontId="47" fillId="0" borderId="29" xfId="21" applyNumberFormat="1" applyFont="1" applyBorder="1" applyAlignment="1">
      <alignment/>
    </xf>
    <xf numFmtId="176" fontId="47" fillId="0" borderId="0" xfId="21" applyNumberFormat="1" applyFont="1" applyBorder="1" applyAlignment="1">
      <alignment/>
    </xf>
    <xf numFmtId="176" fontId="47" fillId="0" borderId="0" xfId="21" applyNumberFormat="1" applyFont="1" applyBorder="1" applyAlignment="1">
      <alignment horizontal="center"/>
    </xf>
    <xf numFmtId="3" fontId="47" fillId="0" borderId="0" xfId="21" applyNumberFormat="1" applyFont="1" applyBorder="1" applyAlignment="1">
      <alignment/>
    </xf>
    <xf numFmtId="0" fontId="51" fillId="0" borderId="0" xfId="0" applyFont="1" applyAlignment="1">
      <alignment horizontal="center"/>
    </xf>
    <xf numFmtId="176" fontId="49" fillId="0" borderId="25" xfId="21" applyNumberFormat="1" applyFont="1" applyBorder="1" applyAlignment="1" quotePrefix="1">
      <alignment horizontal="center" vertical="center" wrapText="1"/>
    </xf>
    <xf numFmtId="176" fontId="49" fillId="0" borderId="14" xfId="21" applyNumberFormat="1" applyFont="1" applyBorder="1" applyAlignment="1" quotePrefix="1">
      <alignment horizontal="center" vertical="center" wrapText="1"/>
    </xf>
    <xf numFmtId="1" fontId="44" fillId="0" borderId="30" xfId="21" applyNumberFormat="1" applyFont="1" applyBorder="1" applyAlignment="1">
      <alignment horizontal="center" vertical="center" wrapText="1"/>
    </xf>
    <xf numFmtId="1" fontId="44" fillId="0" borderId="30" xfId="21" applyNumberFormat="1" applyFont="1" applyBorder="1" applyAlignment="1">
      <alignment horizontal="center"/>
    </xf>
    <xf numFmtId="176" fontId="44" fillId="0" borderId="2" xfId="21" applyNumberFormat="1" applyFont="1" applyBorder="1" applyAlignment="1">
      <alignment horizontal="center"/>
    </xf>
    <xf numFmtId="176" fontId="46" fillId="0" borderId="0" xfId="0" applyNumberFormat="1" applyFont="1" applyAlignment="1">
      <alignment/>
    </xf>
    <xf numFmtId="0" fontId="49" fillId="0" borderId="9" xfId="0" applyFont="1" applyBorder="1" applyAlignment="1">
      <alignment/>
    </xf>
    <xf numFmtId="176" fontId="47" fillId="0" borderId="31" xfId="21" applyNumberFormat="1" applyFont="1" applyBorder="1" applyAlignment="1">
      <alignment/>
    </xf>
    <xf numFmtId="3" fontId="49" fillId="0" borderId="20" xfId="21" applyNumberFormat="1" applyFont="1" applyBorder="1" applyAlignment="1">
      <alignment/>
    </xf>
    <xf numFmtId="176" fontId="68" fillId="0" borderId="0" xfId="21" applyNumberFormat="1" applyFont="1" applyBorder="1" applyAlignment="1">
      <alignment horizontal="left"/>
    </xf>
    <xf numFmtId="176" fontId="49" fillId="0" borderId="0" xfId="21" applyNumberFormat="1" applyFont="1" applyBorder="1" applyAlignment="1">
      <alignment horizontal="left"/>
    </xf>
    <xf numFmtId="0" fontId="50" fillId="0" borderId="0" xfId="0" applyFont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2" xfId="0" applyFont="1" applyBorder="1" applyAlignment="1">
      <alignment/>
    </xf>
    <xf numFmtId="0" fontId="44" fillId="0" borderId="2" xfId="0" applyFont="1" applyBorder="1" applyAlignment="1">
      <alignment vertical="center" wrapText="1"/>
    </xf>
    <xf numFmtId="0" fontId="51" fillId="0" borderId="2" xfId="0" applyFont="1" applyBorder="1" applyAlignment="1">
      <alignment/>
    </xf>
    <xf numFmtId="0" fontId="44" fillId="0" borderId="2" xfId="0" applyFont="1" applyBorder="1" applyAlignment="1">
      <alignment wrapText="1"/>
    </xf>
    <xf numFmtId="0" fontId="44" fillId="0" borderId="20" xfId="0" applyFont="1" applyBorder="1" applyAlignment="1">
      <alignment/>
    </xf>
    <xf numFmtId="0" fontId="46" fillId="0" borderId="0" xfId="0" applyFont="1" applyAlignment="1">
      <alignment horizontal="center"/>
    </xf>
    <xf numFmtId="176" fontId="44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176" fontId="56" fillId="0" borderId="27" xfId="21" applyNumberFormat="1" applyFont="1" applyBorder="1" applyAlignment="1">
      <alignment/>
    </xf>
    <xf numFmtId="3" fontId="62" fillId="0" borderId="2" xfId="21" applyNumberFormat="1" applyFont="1" applyBorder="1" applyAlignment="1">
      <alignment/>
    </xf>
    <xf numFmtId="176" fontId="62" fillId="0" borderId="2" xfId="21" applyNumberFormat="1" applyFont="1" applyBorder="1" applyAlignment="1">
      <alignment horizontal="center"/>
    </xf>
    <xf numFmtId="176" fontId="54" fillId="0" borderId="14" xfId="21" applyNumberFormat="1" applyFont="1" applyBorder="1" applyAlignment="1">
      <alignment horizontal="center"/>
    </xf>
    <xf numFmtId="176" fontId="54" fillId="0" borderId="2" xfId="21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176" fontId="55" fillId="0" borderId="26" xfId="21" applyNumberFormat="1" applyFont="1" applyBorder="1" applyAlignment="1">
      <alignment/>
    </xf>
    <xf numFmtId="1" fontId="55" fillId="0" borderId="2" xfId="21" applyNumberFormat="1" applyFont="1" applyBorder="1" applyAlignment="1">
      <alignment horizontal="center" vertical="center" wrapText="1"/>
    </xf>
    <xf numFmtId="176" fontId="55" fillId="0" borderId="2" xfId="21" applyNumberFormat="1" applyFont="1" applyBorder="1" applyAlignment="1">
      <alignment/>
    </xf>
    <xf numFmtId="0" fontId="61" fillId="0" borderId="0" xfId="0" applyFont="1" applyAlignment="1">
      <alignment vertical="center" wrapText="1"/>
    </xf>
    <xf numFmtId="3" fontId="61" fillId="0" borderId="0" xfId="0" applyNumberFormat="1" applyFont="1" applyAlignment="1">
      <alignment/>
    </xf>
    <xf numFmtId="0" fontId="56" fillId="0" borderId="0" xfId="0" applyFont="1" applyAlignment="1">
      <alignment/>
    </xf>
    <xf numFmtId="3" fontId="63" fillId="0" borderId="0" xfId="0" applyNumberFormat="1" applyFont="1" applyAlignment="1">
      <alignment/>
    </xf>
    <xf numFmtId="0" fontId="60" fillId="0" borderId="0" xfId="0" applyFont="1" applyAlignment="1">
      <alignment/>
    </xf>
    <xf numFmtId="0" fontId="52" fillId="0" borderId="0" xfId="0" applyFont="1" applyAlignment="1">
      <alignment/>
    </xf>
    <xf numFmtId="3" fontId="62" fillId="0" borderId="32" xfId="21" applyNumberFormat="1" applyFont="1" applyBorder="1" applyAlignment="1">
      <alignment/>
    </xf>
    <xf numFmtId="1" fontId="55" fillId="0" borderId="2" xfId="21" applyNumberFormat="1" applyFont="1" applyBorder="1" applyAlignment="1">
      <alignment horizontal="center"/>
    </xf>
    <xf numFmtId="176" fontId="61" fillId="0" borderId="0" xfId="0" applyNumberFormat="1" applyFont="1" applyAlignment="1">
      <alignment/>
    </xf>
    <xf numFmtId="176" fontId="55" fillId="0" borderId="26" xfId="21" applyNumberFormat="1" applyFont="1" applyBorder="1" applyAlignment="1">
      <alignment/>
    </xf>
    <xf numFmtId="176" fontId="55" fillId="2" borderId="26" xfId="21" applyNumberFormat="1" applyFont="1" applyFill="1" applyBorder="1" applyAlignment="1">
      <alignment/>
    </xf>
    <xf numFmtId="1" fontId="55" fillId="2" borderId="2" xfId="21" applyNumberFormat="1" applyFont="1" applyFill="1" applyBorder="1" applyAlignment="1">
      <alignment horizontal="center" vertical="center" wrapText="1"/>
    </xf>
    <xf numFmtId="1" fontId="55" fillId="2" borderId="2" xfId="21" applyNumberFormat="1" applyFont="1" applyFill="1" applyBorder="1" applyAlignment="1">
      <alignment horizontal="center"/>
    </xf>
    <xf numFmtId="3" fontId="55" fillId="2" borderId="2" xfId="21" applyNumberFormat="1" applyFont="1" applyFill="1" applyBorder="1" applyAlignment="1">
      <alignment/>
    </xf>
    <xf numFmtId="3" fontId="61" fillId="2" borderId="0" xfId="0" applyNumberFormat="1" applyFont="1" applyFill="1" applyAlignment="1">
      <alignment/>
    </xf>
    <xf numFmtId="0" fontId="61" fillId="2" borderId="0" xfId="0" applyFont="1" applyFill="1" applyAlignment="1">
      <alignment/>
    </xf>
    <xf numFmtId="176" fontId="55" fillId="0" borderId="27" xfId="21" applyNumberFormat="1" applyFont="1" applyBorder="1" applyAlignment="1">
      <alignment/>
    </xf>
    <xf numFmtId="176" fontId="60" fillId="0" borderId="12" xfId="21" applyNumberFormat="1" applyFont="1" applyBorder="1" applyAlignment="1">
      <alignment vertical="center" wrapText="1"/>
    </xf>
    <xf numFmtId="1" fontId="60" fillId="0" borderId="2" xfId="21" applyNumberFormat="1" applyFont="1" applyBorder="1" applyAlignment="1">
      <alignment horizontal="center" vertical="center" wrapText="1"/>
    </xf>
    <xf numFmtId="1" fontId="60" fillId="0" borderId="2" xfId="21" applyNumberFormat="1" applyFont="1" applyBorder="1" applyAlignment="1">
      <alignment horizontal="center"/>
    </xf>
    <xf numFmtId="176" fontId="60" fillId="0" borderId="2" xfId="21" applyNumberFormat="1" applyFont="1" applyBorder="1" applyAlignment="1">
      <alignment horizontal="center" vertical="center" wrapText="1"/>
    </xf>
    <xf numFmtId="3" fontId="60" fillId="0" borderId="0" xfId="0" applyNumberFormat="1" applyFont="1" applyAlignment="1">
      <alignment/>
    </xf>
    <xf numFmtId="176" fontId="55" fillId="0" borderId="2" xfId="21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176" fontId="60" fillId="0" borderId="33" xfId="21" applyNumberFormat="1" applyFont="1" applyBorder="1" applyAlignment="1">
      <alignment vertical="center" wrapText="1"/>
    </xf>
    <xf numFmtId="1" fontId="60" fillId="0" borderId="15" xfId="21" applyNumberFormat="1" applyFont="1" applyBorder="1" applyAlignment="1">
      <alignment horizontal="center" vertical="center" wrapText="1"/>
    </xf>
    <xf numFmtId="176" fontId="60" fillId="0" borderId="15" xfId="21" applyNumberFormat="1" applyFont="1" applyBorder="1" applyAlignment="1">
      <alignment vertical="center" wrapText="1"/>
    </xf>
    <xf numFmtId="176" fontId="60" fillId="0" borderId="15" xfId="21" applyNumberFormat="1" applyFont="1" applyBorder="1" applyAlignment="1">
      <alignment horizontal="center" vertical="center" wrapText="1"/>
    </xf>
    <xf numFmtId="3" fontId="60" fillId="0" borderId="0" xfId="0" applyNumberFormat="1" applyFont="1" applyAlignment="1">
      <alignment vertical="center" wrapText="1"/>
    </xf>
    <xf numFmtId="0" fontId="60" fillId="0" borderId="0" xfId="0" applyFont="1" applyAlignment="1">
      <alignment vertical="center" wrapText="1"/>
    </xf>
    <xf numFmtId="176" fontId="69" fillId="0" borderId="26" xfId="21" applyNumberFormat="1" applyFont="1" applyBorder="1" applyAlignment="1">
      <alignment horizontal="left"/>
    </xf>
    <xf numFmtId="1" fontId="69" fillId="0" borderId="2" xfId="21" applyNumberFormat="1" applyFont="1" applyBorder="1" applyAlignment="1">
      <alignment horizontal="center" vertical="center" wrapText="1"/>
    </xf>
    <xf numFmtId="1" fontId="69" fillId="0" borderId="2" xfId="21" applyNumberFormat="1" applyFont="1" applyBorder="1" applyAlignment="1">
      <alignment horizontal="center"/>
    </xf>
    <xf numFmtId="3" fontId="69" fillId="0" borderId="2" xfId="21" applyNumberFormat="1" applyFont="1" applyBorder="1" applyAlignment="1">
      <alignment/>
    </xf>
    <xf numFmtId="0" fontId="70" fillId="0" borderId="0" xfId="0" applyFont="1" applyAlignment="1">
      <alignment/>
    </xf>
    <xf numFmtId="176" fontId="69" fillId="0" borderId="26" xfId="21" applyNumberFormat="1" applyFont="1" applyBorder="1" applyAlignment="1">
      <alignment/>
    </xf>
    <xf numFmtId="3" fontId="70" fillId="0" borderId="0" xfId="0" applyNumberFormat="1" applyFont="1" applyAlignment="1">
      <alignment/>
    </xf>
    <xf numFmtId="0" fontId="47" fillId="0" borderId="3" xfId="0" applyFont="1" applyBorder="1" applyAlignment="1">
      <alignment/>
    </xf>
    <xf numFmtId="0" fontId="47" fillId="0" borderId="3" xfId="0" applyFont="1" applyBorder="1" applyAlignment="1" quotePrefix="1">
      <alignment horizontal="center"/>
    </xf>
    <xf numFmtId="0" fontId="47" fillId="0" borderId="2" xfId="0" applyFont="1" applyBorder="1" applyAlignment="1">
      <alignment horizontal="center"/>
    </xf>
    <xf numFmtId="176" fontId="47" fillId="0" borderId="2" xfId="21" applyNumberFormat="1" applyFont="1" applyBorder="1" applyAlignment="1">
      <alignment/>
    </xf>
    <xf numFmtId="176" fontId="47" fillId="0" borderId="30" xfId="21" applyNumberFormat="1" applyFont="1" applyBorder="1" applyAlignment="1">
      <alignment/>
    </xf>
    <xf numFmtId="176" fontId="47" fillId="0" borderId="3" xfId="21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2" xfId="0" applyFont="1" applyBorder="1" applyAlignment="1">
      <alignment/>
    </xf>
    <xf numFmtId="0" fontId="47" fillId="0" borderId="2" xfId="0" applyFont="1" applyBorder="1" applyAlignment="1" quotePrefix="1">
      <alignment horizontal="center"/>
    </xf>
    <xf numFmtId="0" fontId="47" fillId="0" borderId="2" xfId="0" applyFont="1" applyBorder="1" applyAlignment="1">
      <alignment vertical="center" wrapText="1"/>
    </xf>
    <xf numFmtId="0" fontId="47" fillId="2" borderId="2" xfId="0" applyFont="1" applyFill="1" applyBorder="1" applyAlignment="1">
      <alignment/>
    </xf>
    <xf numFmtId="176" fontId="47" fillId="0" borderId="2" xfId="21" applyNumberFormat="1" applyFont="1" applyFill="1" applyBorder="1" applyAlignment="1">
      <alignment/>
    </xf>
    <xf numFmtId="176" fontId="47" fillId="0" borderId="2" xfId="0" applyNumberFormat="1" applyFont="1" applyBorder="1" applyAlignment="1">
      <alignment horizontal="center"/>
    </xf>
    <xf numFmtId="176" fontId="47" fillId="0" borderId="0" xfId="0" applyNumberFormat="1" applyFont="1" applyAlignment="1">
      <alignment/>
    </xf>
    <xf numFmtId="0" fontId="49" fillId="0" borderId="2" xfId="0" applyFont="1" applyBorder="1" applyAlignment="1">
      <alignment/>
    </xf>
    <xf numFmtId="0" fontId="49" fillId="0" borderId="2" xfId="0" applyFont="1" applyBorder="1" applyAlignment="1">
      <alignment horizontal="center"/>
    </xf>
    <xf numFmtId="0" fontId="47" fillId="0" borderId="2" xfId="0" applyFont="1" applyBorder="1" applyAlignment="1">
      <alignment wrapText="1"/>
    </xf>
    <xf numFmtId="0" fontId="47" fillId="0" borderId="2" xfId="0" applyFont="1" applyBorder="1" applyAlignment="1">
      <alignment horizontal="left"/>
    </xf>
    <xf numFmtId="0" fontId="47" fillId="0" borderId="20" xfId="0" applyFont="1" applyBorder="1" applyAlignment="1">
      <alignment/>
    </xf>
    <xf numFmtId="0" fontId="47" fillId="0" borderId="20" xfId="0" applyFont="1" applyBorder="1" applyAlignment="1">
      <alignment horizontal="center"/>
    </xf>
    <xf numFmtId="0" fontId="49" fillId="0" borderId="20" xfId="0" applyFont="1" applyBorder="1" applyAlignment="1">
      <alignment/>
    </xf>
    <xf numFmtId="176" fontId="47" fillId="0" borderId="20" xfId="21" applyNumberFormat="1" applyFont="1" applyBorder="1" applyAlignment="1">
      <alignment/>
    </xf>
    <xf numFmtId="176" fontId="49" fillId="0" borderId="0" xfId="0" applyNumberFormat="1" applyFont="1" applyAlignment="1">
      <alignment/>
    </xf>
    <xf numFmtId="0" fontId="44" fillId="0" borderId="15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176" fontId="44" fillId="0" borderId="25" xfId="21" applyNumberFormat="1" applyFont="1" applyBorder="1" applyAlignment="1">
      <alignment horizontal="center" vertical="center" wrapText="1"/>
    </xf>
    <xf numFmtId="176" fontId="44" fillId="0" borderId="17" xfId="21" applyNumberFormat="1" applyFont="1" applyBorder="1" applyAlignment="1">
      <alignment horizontal="center" vertical="center" wrapText="1"/>
    </xf>
    <xf numFmtId="1" fontId="56" fillId="0" borderId="2" xfId="21" applyNumberFormat="1" applyFont="1" applyBorder="1" applyAlignment="1">
      <alignment horizontal="center"/>
    </xf>
    <xf numFmtId="0" fontId="44" fillId="0" borderId="30" xfId="0" applyFont="1" applyBorder="1" applyAlignment="1">
      <alignment/>
    </xf>
    <xf numFmtId="218" fontId="44" fillId="0" borderId="30" xfId="0" applyNumberFormat="1" applyFont="1" applyBorder="1" applyAlignment="1">
      <alignment/>
    </xf>
    <xf numFmtId="218" fontId="44" fillId="0" borderId="2" xfId="0" applyNumberFormat="1" applyFont="1" applyBorder="1" applyAlignment="1">
      <alignment/>
    </xf>
    <xf numFmtId="3" fontId="51" fillId="0" borderId="2" xfId="0" applyNumberFormat="1" applyFont="1" applyBorder="1" applyAlignment="1">
      <alignment/>
    </xf>
    <xf numFmtId="218" fontId="51" fillId="0" borderId="2" xfId="0" applyNumberFormat="1" applyFont="1" applyBorder="1" applyAlignment="1" quotePrefix="1">
      <alignment/>
    </xf>
    <xf numFmtId="37" fontId="51" fillId="0" borderId="2" xfId="0" applyNumberFormat="1" applyFont="1" applyBorder="1" applyAlignment="1">
      <alignment/>
    </xf>
    <xf numFmtId="218" fontId="51" fillId="0" borderId="2" xfId="0" applyNumberFormat="1" applyFont="1" applyBorder="1" applyAlignment="1">
      <alignment/>
    </xf>
    <xf numFmtId="219" fontId="44" fillId="0" borderId="30" xfId="0" applyNumberFormat="1" applyFont="1" applyBorder="1" applyAlignment="1">
      <alignment/>
    </xf>
    <xf numFmtId="219" fontId="44" fillId="0" borderId="2" xfId="0" applyNumberFormat="1" applyFont="1" applyBorder="1" applyAlignment="1">
      <alignment/>
    </xf>
    <xf numFmtId="37" fontId="44" fillId="0" borderId="2" xfId="0" applyNumberFormat="1" applyFont="1" applyBorder="1" applyAlignment="1">
      <alignment/>
    </xf>
    <xf numFmtId="37" fontId="51" fillId="0" borderId="20" xfId="0" applyNumberFormat="1" applyFont="1" applyBorder="1" applyAlignment="1">
      <alignment/>
    </xf>
    <xf numFmtId="37" fontId="51" fillId="0" borderId="0" xfId="0" applyNumberFormat="1" applyFont="1" applyBorder="1" applyAlignment="1">
      <alignment/>
    </xf>
    <xf numFmtId="0" fontId="44" fillId="0" borderId="30" xfId="0" applyFont="1" applyBorder="1" applyAlignment="1">
      <alignment horizontal="center"/>
    </xf>
    <xf numFmtId="218" fontId="44" fillId="0" borderId="28" xfId="0" applyNumberFormat="1" applyFont="1" applyBorder="1" applyAlignment="1">
      <alignment/>
    </xf>
    <xf numFmtId="3" fontId="51" fillId="0" borderId="28" xfId="0" applyNumberFormat="1" applyFont="1" applyBorder="1" applyAlignment="1">
      <alignment/>
    </xf>
    <xf numFmtId="218" fontId="44" fillId="0" borderId="14" xfId="0" applyNumberFormat="1" applyFont="1" applyBorder="1" applyAlignment="1">
      <alignment horizontal="center"/>
    </xf>
    <xf numFmtId="3" fontId="44" fillId="0" borderId="14" xfId="0" applyNumberFormat="1" applyFont="1" applyBorder="1" applyAlignment="1">
      <alignment/>
    </xf>
    <xf numFmtId="3" fontId="44" fillId="0" borderId="30" xfId="0" applyNumberFormat="1" applyFont="1" applyBorder="1" applyAlignment="1">
      <alignment/>
    </xf>
    <xf numFmtId="3" fontId="44" fillId="0" borderId="2" xfId="0" applyNumberFormat="1" applyFont="1" applyBorder="1" applyAlignment="1">
      <alignment/>
    </xf>
    <xf numFmtId="218" fontId="60" fillId="0" borderId="2" xfId="0" applyNumberFormat="1" applyFont="1" applyBorder="1" applyAlignment="1">
      <alignment/>
    </xf>
    <xf numFmtId="3" fontId="52" fillId="0" borderId="2" xfId="0" applyNumberFormat="1" applyFont="1" applyBorder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right"/>
    </xf>
    <xf numFmtId="0" fontId="60" fillId="0" borderId="2" xfId="0" applyFont="1" applyBorder="1" applyAlignment="1">
      <alignment horizontal="right"/>
    </xf>
    <xf numFmtId="0" fontId="44" fillId="0" borderId="28" xfId="0" applyFont="1" applyBorder="1" applyAlignment="1">
      <alignment horizontal="right"/>
    </xf>
    <xf numFmtId="218" fontId="44" fillId="0" borderId="14" xfId="0" applyNumberFormat="1" applyFont="1" applyBorder="1" applyAlignment="1">
      <alignment horizontal="center" vertical="center" wrapText="1"/>
    </xf>
    <xf numFmtId="3" fontId="44" fillId="0" borderId="14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right"/>
    </xf>
    <xf numFmtId="0" fontId="44" fillId="0" borderId="20" xfId="0" applyFont="1" applyBorder="1" applyAlignment="1">
      <alignment horizontal="center"/>
    </xf>
    <xf numFmtId="0" fontId="44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219" fontId="51" fillId="0" borderId="2" xfId="0" applyNumberFormat="1" applyFont="1" applyBorder="1" applyAlignment="1">
      <alignment horizontal="right"/>
    </xf>
    <xf numFmtId="37" fontId="51" fillId="0" borderId="2" xfId="0" applyNumberFormat="1" applyFont="1" applyBorder="1" applyAlignment="1">
      <alignment horizontal="right"/>
    </xf>
    <xf numFmtId="0" fontId="51" fillId="0" borderId="2" xfId="0" applyFont="1" applyBorder="1" applyAlignment="1">
      <alignment horizontal="right"/>
    </xf>
    <xf numFmtId="218" fontId="51" fillId="0" borderId="28" xfId="0" applyNumberFormat="1" applyFont="1" applyBorder="1" applyAlignment="1">
      <alignment/>
    </xf>
    <xf numFmtId="0" fontId="51" fillId="0" borderId="16" xfId="0" applyFont="1" applyBorder="1" applyAlignment="1">
      <alignment horizontal="right"/>
    </xf>
    <xf numFmtId="218" fontId="51" fillId="0" borderId="16" xfId="0" applyNumberFormat="1" applyFont="1" applyBorder="1" applyAlignment="1">
      <alignment/>
    </xf>
    <xf numFmtId="37" fontId="51" fillId="0" borderId="16" xfId="0" applyNumberFormat="1" applyFont="1" applyBorder="1" applyAlignment="1">
      <alignment/>
    </xf>
    <xf numFmtId="3" fontId="9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quotePrefix="1">
      <alignment horizontal="left"/>
    </xf>
    <xf numFmtId="3" fontId="10" fillId="0" borderId="25" xfId="0" applyNumberFormat="1" applyFont="1" applyBorder="1" applyAlignment="1">
      <alignment horizontal="center"/>
    </xf>
    <xf numFmtId="3" fontId="10" fillId="0" borderId="34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32" fillId="2" borderId="22" xfId="0" applyNumberFormat="1" applyFont="1" applyFill="1" applyBorder="1" applyAlignment="1">
      <alignment horizontal="center" vertical="center" wrapText="1"/>
    </xf>
    <xf numFmtId="3" fontId="32" fillId="2" borderId="23" xfId="0" applyNumberFormat="1" applyFont="1" applyFill="1" applyBorder="1" applyAlignment="1">
      <alignment horizontal="center" vertical="center" wrapText="1"/>
    </xf>
    <xf numFmtId="3" fontId="32" fillId="2" borderId="35" xfId="0" applyNumberFormat="1" applyFont="1" applyFill="1" applyBorder="1" applyAlignment="1">
      <alignment horizontal="center" vertical="center" wrapText="1"/>
    </xf>
    <xf numFmtId="3" fontId="32" fillId="2" borderId="24" xfId="0" applyNumberFormat="1" applyFont="1" applyFill="1" applyBorder="1" applyAlignment="1">
      <alignment horizontal="center" vertical="center" wrapText="1"/>
    </xf>
    <xf numFmtId="3" fontId="32" fillId="2" borderId="18" xfId="0" applyNumberFormat="1" applyFont="1" applyFill="1" applyBorder="1" applyAlignment="1">
      <alignment horizontal="center" vertical="center" wrapText="1"/>
    </xf>
    <xf numFmtId="3" fontId="32" fillId="2" borderId="36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 quotePrefix="1">
      <alignment horizontal="justify" vertical="top" wrapText="1"/>
    </xf>
    <xf numFmtId="0" fontId="1" fillId="0" borderId="0" xfId="0" applyFont="1" applyAlignment="1" quotePrefix="1">
      <alignment horizontal="justify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quotePrefix="1">
      <alignment horizontal="justify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justify" vertical="center" wrapText="1"/>
    </xf>
    <xf numFmtId="3" fontId="1" fillId="0" borderId="8" xfId="0" applyNumberFormat="1" applyFont="1" applyBorder="1" applyAlignment="1">
      <alignment horizontal="center"/>
    </xf>
    <xf numFmtId="176" fontId="67" fillId="0" borderId="0" xfId="21" applyNumberFormat="1" applyFont="1" applyBorder="1" applyAlignment="1">
      <alignment horizontal="left"/>
    </xf>
    <xf numFmtId="176" fontId="68" fillId="0" borderId="0" xfId="21" applyNumberFormat="1" applyFont="1" applyBorder="1" applyAlignment="1">
      <alignment horizontal="left" vertical="top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176" fontId="45" fillId="0" borderId="0" xfId="21" applyNumberFormat="1" applyFont="1" applyBorder="1" applyAlignment="1">
      <alignment horizontal="center"/>
    </xf>
    <xf numFmtId="176" fontId="58" fillId="0" borderId="0" xfId="21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48" fillId="0" borderId="18" xfId="0" applyFont="1" applyBorder="1" applyAlignment="1">
      <alignment horizontal="right"/>
    </xf>
    <xf numFmtId="0" fontId="63" fillId="0" borderId="18" xfId="0" applyFont="1" applyBorder="1" applyAlignment="1">
      <alignment horizontal="center"/>
    </xf>
    <xf numFmtId="0" fontId="57" fillId="0" borderId="15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64" fillId="2" borderId="18" xfId="0" applyFont="1" applyFill="1" applyBorder="1" applyAlignment="1">
      <alignment horizontal="center"/>
    </xf>
    <xf numFmtId="0" fontId="63" fillId="2" borderId="18" xfId="0" applyFont="1" applyFill="1" applyBorder="1" applyAlignment="1">
      <alignment horizontal="center"/>
    </xf>
    <xf numFmtId="0" fontId="47" fillId="0" borderId="2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176" fontId="53" fillId="0" borderId="0" xfId="21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right"/>
    </xf>
    <xf numFmtId="3" fontId="2" fillId="0" borderId="8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0" fontId="1" fillId="0" borderId="0" xfId="0" applyFont="1" applyAlignment="1" quotePrefix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 quotePrefix="1">
      <alignment vertical="center" wrapText="1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9" fillId="0" borderId="25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41" fillId="2" borderId="25" xfId="0" applyNumberFormat="1" applyFont="1" applyFill="1" applyBorder="1" applyAlignment="1">
      <alignment horizontal="center" vertical="center" wrapText="1"/>
    </xf>
    <xf numFmtId="3" fontId="41" fillId="2" borderId="17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left"/>
    </xf>
    <xf numFmtId="3" fontId="16" fillId="0" borderId="7" xfId="0" applyNumberFormat="1" applyFont="1" applyBorder="1" applyAlignment="1">
      <alignment horizontal="left"/>
    </xf>
    <xf numFmtId="3" fontId="16" fillId="0" borderId="29" xfId="0" applyNumberFormat="1" applyFont="1" applyBorder="1" applyAlignment="1">
      <alignment horizontal="left"/>
    </xf>
    <xf numFmtId="3" fontId="16" fillId="0" borderId="8" xfId="0" applyNumberFormat="1" applyFont="1" applyBorder="1" applyAlignment="1">
      <alignment horizontal="center"/>
    </xf>
    <xf numFmtId="3" fontId="16" fillId="0" borderId="7" xfId="0" applyNumberFormat="1" applyFont="1" applyBorder="1" applyAlignment="1">
      <alignment horizontal="center"/>
    </xf>
    <xf numFmtId="3" fontId="16" fillId="0" borderId="29" xfId="0" applyNumberFormat="1" applyFont="1" applyBorder="1" applyAlignment="1">
      <alignment horizontal="center"/>
    </xf>
    <xf numFmtId="3" fontId="41" fillId="2" borderId="22" xfId="0" applyNumberFormat="1" applyFont="1" applyFill="1" applyBorder="1" applyAlignment="1">
      <alignment horizontal="center" vertical="center" wrapText="1"/>
    </xf>
    <xf numFmtId="3" fontId="41" fillId="2" borderId="35" xfId="0" applyNumberFormat="1" applyFont="1" applyFill="1" applyBorder="1" applyAlignment="1">
      <alignment horizontal="center" vertical="center" wrapText="1"/>
    </xf>
    <xf numFmtId="3" fontId="41" fillId="2" borderId="24" xfId="0" applyNumberFormat="1" applyFont="1" applyFill="1" applyBorder="1" applyAlignment="1">
      <alignment horizontal="center" vertical="center" wrapText="1"/>
    </xf>
    <xf numFmtId="3" fontId="41" fillId="2" borderId="36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/>
    </xf>
    <xf numFmtId="3" fontId="24" fillId="0" borderId="34" xfId="0" applyNumberFormat="1" applyFont="1" applyBorder="1" applyAlignment="1">
      <alignment horizontal="center"/>
    </xf>
    <xf numFmtId="3" fontId="24" fillId="0" borderId="17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 quotePrefix="1">
      <alignment horizontal="justify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justify" wrapText="1"/>
    </xf>
    <xf numFmtId="0" fontId="24" fillId="0" borderId="0" xfId="0" applyFont="1" applyAlignment="1" quotePrefix="1">
      <alignment horizontal="justify" wrapText="1"/>
    </xf>
    <xf numFmtId="0" fontId="24" fillId="0" borderId="0" xfId="0" applyFont="1" applyAlignment="1">
      <alignment horizontal="justify"/>
    </xf>
    <xf numFmtId="0" fontId="24" fillId="0" borderId="0" xfId="0" applyFont="1" applyAlignment="1" quotePrefix="1">
      <alignment horizontal="left" vertical="justify"/>
    </xf>
    <xf numFmtId="178" fontId="39" fillId="0" borderId="0" xfId="21" applyNumberFormat="1" applyFont="1" applyAlignment="1">
      <alignment horizontal="justify" vertical="center" wrapText="1"/>
    </xf>
    <xf numFmtId="178" fontId="39" fillId="0" borderId="0" xfId="21" applyNumberFormat="1" applyFont="1" applyAlignment="1" quotePrefix="1">
      <alignment horizontal="justify" vertical="center" wrapText="1"/>
    </xf>
    <xf numFmtId="178" fontId="1" fillId="0" borderId="0" xfId="21" applyNumberFormat="1" applyFont="1" applyAlignment="1">
      <alignment horizontal="justify" vertical="center" wrapText="1"/>
    </xf>
    <xf numFmtId="178" fontId="1" fillId="0" borderId="0" xfId="21" applyNumberFormat="1" applyFont="1" applyAlignment="1" quotePrefix="1">
      <alignment horizontal="justify" vertical="center" wrapText="1"/>
    </xf>
    <xf numFmtId="178" fontId="39" fillId="0" borderId="0" xfId="21" applyNumberFormat="1" applyFont="1" applyAlignment="1" quotePrefix="1">
      <alignment horizontal="justify" vertical="top" wrapText="1"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justify"/>
    </xf>
    <xf numFmtId="0" fontId="24" fillId="0" borderId="0" xfId="0" applyFont="1" applyAlignment="1" quotePrefix="1">
      <alignment horizontal="left"/>
    </xf>
    <xf numFmtId="0" fontId="24" fillId="0" borderId="0" xfId="0" applyFont="1" applyAlignment="1" quotePrefix="1">
      <alignment horizontal="left" vertical="center" wrapText="1"/>
    </xf>
    <xf numFmtId="0" fontId="16" fillId="0" borderId="0" xfId="0" applyFont="1" applyAlignment="1" quotePrefix="1">
      <alignment horizontal="justify" vertical="center" wrapText="1"/>
    </xf>
    <xf numFmtId="0" fontId="2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4" fillId="0" borderId="0" xfId="0" applyFont="1" applyAlignment="1" quotePrefix="1">
      <alignment vertical="center" wrapText="1"/>
    </xf>
    <xf numFmtId="178" fontId="40" fillId="0" borderId="0" xfId="21" applyNumberFormat="1" applyFont="1" applyAlignment="1" quotePrefix="1">
      <alignment horizontal="justify" vertical="center" wrapText="1"/>
    </xf>
    <xf numFmtId="3" fontId="24" fillId="0" borderId="26" xfId="0" applyNumberFormat="1" applyFont="1" applyBorder="1" applyAlignment="1">
      <alignment horizontal="left"/>
    </xf>
    <xf numFmtId="3" fontId="24" fillId="0" borderId="37" xfId="0" applyNumberFormat="1" applyFont="1" applyBorder="1" applyAlignment="1">
      <alignment horizontal="left"/>
    </xf>
    <xf numFmtId="3" fontId="41" fillId="2" borderId="23" xfId="0" applyNumberFormat="1" applyFont="1" applyFill="1" applyBorder="1" applyAlignment="1">
      <alignment horizontal="center" vertical="center" wrapText="1"/>
    </xf>
    <xf numFmtId="3" fontId="41" fillId="2" borderId="18" xfId="0" applyNumberFormat="1" applyFont="1" applyFill="1" applyBorder="1" applyAlignment="1">
      <alignment horizontal="center" vertical="center" wrapText="1"/>
    </xf>
    <xf numFmtId="3" fontId="16" fillId="0" borderId="25" xfId="0" applyNumberFormat="1" applyFont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center" vertical="center" wrapText="1"/>
    </xf>
    <xf numFmtId="3" fontId="16" fillId="0" borderId="25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/>
    </xf>
    <xf numFmtId="43" fontId="46" fillId="0" borderId="0" xfId="0" applyNumberFormat="1" applyFont="1" applyAlignment="1">
      <alignment/>
    </xf>
  </cellXfs>
  <cellStyles count="23">
    <cellStyle name="Normal" xfId="0"/>
    <cellStyle name="RowLevel_0" xfId="1"/>
    <cellStyle name="??_kc-elec system check list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omma" xfId="21"/>
    <cellStyle name="Comma [0]" xfId="22"/>
    <cellStyle name="Comma0" xfId="23"/>
    <cellStyle name="Currency" xfId="24"/>
    <cellStyle name="Currency [0]" xfId="25"/>
    <cellStyle name="Currency0" xfId="26"/>
    <cellStyle name="Date" xfId="27"/>
    <cellStyle name="Fixed" xfId="28"/>
    <cellStyle name="Followed Hyperlink" xfId="29"/>
    <cellStyle name="Heading 1" xfId="30"/>
    <cellStyle name="Heading 2" xfId="31"/>
    <cellStyle name="Hyperlink" xfId="32"/>
    <cellStyle name="Normal - Style1" xfId="33"/>
    <cellStyle name="Percent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6"/>
  <sheetViews>
    <sheetView zoomScaleSheetLayoutView="100" workbookViewId="0" topLeftCell="A106">
      <selection activeCell="D103" sqref="D103"/>
    </sheetView>
  </sheetViews>
  <sheetFormatPr defaultColWidth="8.796875" defaultRowHeight="15"/>
  <cols>
    <col min="1" max="1" width="37.296875" style="216" customWidth="1"/>
    <col min="2" max="2" width="7.8984375" style="216" hidden="1" customWidth="1"/>
    <col min="3" max="3" width="9.3984375" style="216" hidden="1" customWidth="1"/>
    <col min="4" max="4" width="18.09765625" style="216" bestFit="1" customWidth="1"/>
    <col min="5" max="5" width="16.8984375" style="216" customWidth="1"/>
    <col min="6" max="6" width="18.09765625" style="216" hidden="1" customWidth="1"/>
    <col min="7" max="7" width="16.09765625" style="228" hidden="1" customWidth="1"/>
    <col min="8" max="9" width="16.59765625" style="216" hidden="1" customWidth="1"/>
    <col min="10" max="10" width="0" style="216" hidden="1" customWidth="1"/>
    <col min="11" max="11" width="14.296875" style="216" hidden="1" customWidth="1"/>
    <col min="12" max="24" width="0" style="216" hidden="1" customWidth="1"/>
    <col min="25" max="25" width="16.59765625" style="216" hidden="1" customWidth="1"/>
    <col min="26" max="35" width="0" style="216" hidden="1" customWidth="1"/>
    <col min="36" max="16384" width="9.09765625" style="216" customWidth="1"/>
  </cols>
  <sheetData>
    <row r="1" spans="1:5" ht="17.25" customHeight="1">
      <c r="A1" s="230" t="s">
        <v>800</v>
      </c>
      <c r="B1" s="447" t="s">
        <v>507</v>
      </c>
      <c r="C1" s="447"/>
      <c r="D1" s="447"/>
      <c r="E1" s="447"/>
    </row>
    <row r="2" spans="1:5" ht="15.75">
      <c r="A2" s="215" t="s">
        <v>5</v>
      </c>
      <c r="B2" s="448" t="s">
        <v>506</v>
      </c>
      <c r="C2" s="448"/>
      <c r="D2" s="448"/>
      <c r="E2" s="448"/>
    </row>
    <row r="3" spans="1:5" ht="15" customHeight="1">
      <c r="A3" s="229" t="s">
        <v>799</v>
      </c>
      <c r="B3" s="454" t="s">
        <v>505</v>
      </c>
      <c r="C3" s="454"/>
      <c r="D3" s="454"/>
      <c r="E3" s="454"/>
    </row>
    <row r="4" spans="1:5" ht="15.75">
      <c r="A4" s="229"/>
      <c r="B4" s="448"/>
      <c r="C4" s="448"/>
      <c r="D4" s="448"/>
      <c r="E4" s="448"/>
    </row>
    <row r="5" spans="1:5" ht="18.75">
      <c r="A5" s="449" t="s">
        <v>7</v>
      </c>
      <c r="B5" s="449"/>
      <c r="C5" s="449"/>
      <c r="D5" s="449"/>
      <c r="E5" s="449"/>
    </row>
    <row r="6" spans="1:5" ht="15.75">
      <c r="A6" s="455" t="s">
        <v>1155</v>
      </c>
      <c r="B6" s="455"/>
      <c r="C6" s="455"/>
      <c r="D6" s="455"/>
      <c r="E6" s="455"/>
    </row>
    <row r="7" spans="1:5" ht="15.75">
      <c r="A7" s="451" t="s">
        <v>8</v>
      </c>
      <c r="B7" s="451"/>
      <c r="C7" s="451"/>
      <c r="D7" s="451"/>
      <c r="E7" s="451"/>
    </row>
    <row r="8" spans="1:7" s="235" customFormat="1" ht="15.75">
      <c r="A8" s="231"/>
      <c r="B8" s="232"/>
      <c r="C8" s="232"/>
      <c r="D8" s="233"/>
      <c r="E8" s="234" t="s">
        <v>9</v>
      </c>
      <c r="G8" s="228"/>
    </row>
    <row r="9" spans="1:7" s="235" customFormat="1" ht="47.25" customHeight="1">
      <c r="A9" s="236" t="s">
        <v>646</v>
      </c>
      <c r="B9" s="237" t="s">
        <v>10</v>
      </c>
      <c r="C9" s="237" t="s">
        <v>772</v>
      </c>
      <c r="D9" s="238" t="s">
        <v>648</v>
      </c>
      <c r="E9" s="238" t="s">
        <v>11</v>
      </c>
      <c r="G9" s="304" t="s">
        <v>1336</v>
      </c>
    </row>
    <row r="10" spans="1:7" s="226" customFormat="1" ht="17.25" customHeight="1">
      <c r="A10" s="278" t="s">
        <v>399</v>
      </c>
      <c r="B10" s="278" t="s">
        <v>400</v>
      </c>
      <c r="C10" s="278" t="s">
        <v>401</v>
      </c>
      <c r="D10" s="278" t="s">
        <v>402</v>
      </c>
      <c r="E10" s="279" t="s">
        <v>403</v>
      </c>
      <c r="G10" s="310"/>
    </row>
    <row r="11" spans="1:7" s="337" customFormat="1" ht="33" customHeight="1">
      <c r="A11" s="332" t="s">
        <v>504</v>
      </c>
      <c r="B11" s="333">
        <v>100</v>
      </c>
      <c r="C11" s="334"/>
      <c r="D11" s="335">
        <f>+D12+D15+D18+D25+D28</f>
        <v>111797586983</v>
      </c>
      <c r="E11" s="335">
        <f>+E12+E15+E18+E25+E28</f>
        <v>83857213895</v>
      </c>
      <c r="F11" s="336">
        <f>+D12+D15+D18+D25+D28</f>
        <v>111797586983</v>
      </c>
      <c r="G11" s="309">
        <f>+F11-D11</f>
        <v>0</v>
      </c>
    </row>
    <row r="12" spans="1:5" s="308" customFormat="1" ht="15.75" customHeight="1">
      <c r="A12" s="305" t="s">
        <v>12</v>
      </c>
      <c r="B12" s="306">
        <v>110</v>
      </c>
      <c r="C12" s="307"/>
      <c r="D12" s="247">
        <f>+D13+D14</f>
        <v>9578156121</v>
      </c>
      <c r="E12" s="247">
        <f>+E13+E14</f>
        <v>6830286158</v>
      </c>
    </row>
    <row r="13" spans="1:11" ht="15.75">
      <c r="A13" s="240" t="s">
        <v>774</v>
      </c>
      <c r="B13" s="241">
        <v>111</v>
      </c>
      <c r="C13" s="242" t="s">
        <v>430</v>
      </c>
      <c r="D13" s="300">
        <v>9578156121</v>
      </c>
      <c r="E13" s="221">
        <v>6830286158</v>
      </c>
      <c r="F13" s="243" t="e">
        <f>2087175478-#REF!</f>
        <v>#REF!</v>
      </c>
      <c r="G13" s="311">
        <f>9782207431-D12</f>
        <v>204051310</v>
      </c>
      <c r="H13" s="243"/>
      <c r="I13" s="243"/>
      <c r="K13" s="243"/>
    </row>
    <row r="14" spans="1:11" ht="15.75">
      <c r="A14" s="240" t="s">
        <v>1326</v>
      </c>
      <c r="B14" s="241">
        <v>112</v>
      </c>
      <c r="C14" s="242"/>
      <c r="D14" s="300">
        <v>0</v>
      </c>
      <c r="E14" s="221">
        <v>0</v>
      </c>
      <c r="H14" s="243"/>
      <c r="I14" s="243"/>
      <c r="K14" s="243"/>
    </row>
    <row r="15" spans="1:11" s="227" customFormat="1" ht="15.75">
      <c r="A15" s="305" t="s">
        <v>13</v>
      </c>
      <c r="B15" s="306">
        <v>120</v>
      </c>
      <c r="C15" s="375" t="s">
        <v>431</v>
      </c>
      <c r="D15" s="247">
        <f>+D16+D17</f>
        <v>0</v>
      </c>
      <c r="E15" s="247">
        <f>+E16+E17</f>
        <v>0</v>
      </c>
      <c r="H15" s="243"/>
      <c r="I15" s="243"/>
      <c r="K15" s="243"/>
    </row>
    <row r="16" spans="1:11" ht="15.75">
      <c r="A16" s="240" t="s">
        <v>14</v>
      </c>
      <c r="B16" s="241">
        <v>121</v>
      </c>
      <c r="C16" s="242"/>
      <c r="D16" s="300">
        <v>0</v>
      </c>
      <c r="E16" s="221">
        <v>0</v>
      </c>
      <c r="H16" s="243"/>
      <c r="I16" s="243"/>
      <c r="K16" s="243"/>
    </row>
    <row r="17" spans="1:11" ht="15.75" customHeight="1">
      <c r="A17" s="240" t="s">
        <v>15</v>
      </c>
      <c r="B17" s="241">
        <v>129</v>
      </c>
      <c r="C17" s="242"/>
      <c r="D17" s="300">
        <v>0</v>
      </c>
      <c r="E17" s="221">
        <v>0</v>
      </c>
      <c r="H17" s="243"/>
      <c r="I17" s="243"/>
      <c r="K17" s="243"/>
    </row>
    <row r="18" spans="1:11" s="227" customFormat="1" ht="15.75">
      <c r="A18" s="305" t="s">
        <v>16</v>
      </c>
      <c r="B18" s="306">
        <v>130</v>
      </c>
      <c r="C18" s="315"/>
      <c r="D18" s="247">
        <f>+D19+D20+D21+D22+D23+D24</f>
        <v>63876500534</v>
      </c>
      <c r="E18" s="247">
        <f>+E19+E20+E21+E22+E23+E24</f>
        <v>53690210433</v>
      </c>
      <c r="F18" s="316">
        <f>+D19+D20+D21+D22+D23+D24</f>
        <v>63876500534</v>
      </c>
      <c r="G18" s="309">
        <f>+F18-D18</f>
        <v>0</v>
      </c>
      <c r="H18" s="243"/>
      <c r="I18" s="243"/>
      <c r="K18" s="243"/>
    </row>
    <row r="19" spans="1:11" ht="15.75">
      <c r="A19" s="240" t="s">
        <v>17</v>
      </c>
      <c r="B19" s="241">
        <v>131</v>
      </c>
      <c r="C19" s="242"/>
      <c r="D19" s="300">
        <v>53649727483</v>
      </c>
      <c r="E19" s="221">
        <v>47672603692</v>
      </c>
      <c r="H19" s="243"/>
      <c r="I19" s="243"/>
      <c r="K19" s="243"/>
    </row>
    <row r="20" spans="1:11" ht="15.75">
      <c r="A20" s="240" t="s">
        <v>18</v>
      </c>
      <c r="B20" s="241">
        <v>132</v>
      </c>
      <c r="C20" s="242"/>
      <c r="D20" s="300">
        <v>8646819484</v>
      </c>
      <c r="E20" s="221">
        <v>3115459433</v>
      </c>
      <c r="H20" s="243"/>
      <c r="I20" s="243"/>
      <c r="K20" s="243"/>
    </row>
    <row r="21" spans="1:11" ht="15.75">
      <c r="A21" s="240" t="s">
        <v>19</v>
      </c>
      <c r="B21" s="241">
        <v>133</v>
      </c>
      <c r="C21" s="242"/>
      <c r="D21" s="300">
        <v>0</v>
      </c>
      <c r="E21" s="222">
        <v>0</v>
      </c>
      <c r="F21" s="283">
        <f>+D18-F18</f>
        <v>0</v>
      </c>
      <c r="H21" s="243"/>
      <c r="I21" s="243"/>
      <c r="K21" s="243"/>
    </row>
    <row r="22" spans="1:11" ht="15.75">
      <c r="A22" s="240" t="s">
        <v>20</v>
      </c>
      <c r="B22" s="241">
        <v>134</v>
      </c>
      <c r="C22" s="242"/>
      <c r="D22" s="300">
        <v>0</v>
      </c>
      <c r="E22" s="221">
        <v>0</v>
      </c>
      <c r="F22" s="216">
        <v>337</v>
      </c>
      <c r="H22" s="243"/>
      <c r="I22" s="243"/>
      <c r="K22" s="243"/>
    </row>
    <row r="23" spans="1:11" ht="15.75">
      <c r="A23" s="240" t="s">
        <v>21</v>
      </c>
      <c r="B23" s="241">
        <v>135</v>
      </c>
      <c r="C23" s="242" t="s">
        <v>432</v>
      </c>
      <c r="D23" s="300">
        <v>4218827788</v>
      </c>
      <c r="E23" s="222">
        <v>5541021529</v>
      </c>
      <c r="H23" s="243"/>
      <c r="I23" s="243"/>
      <c r="K23" s="243"/>
    </row>
    <row r="24" spans="1:11" ht="15.75" customHeight="1">
      <c r="A24" s="240" t="s">
        <v>1194</v>
      </c>
      <c r="B24" s="241">
        <v>139</v>
      </c>
      <c r="C24" s="242"/>
      <c r="D24" s="301">
        <v>-2638874221</v>
      </c>
      <c r="E24" s="246">
        <v>-2638874221</v>
      </c>
      <c r="H24" s="243"/>
      <c r="I24" s="243"/>
      <c r="K24" s="243"/>
    </row>
    <row r="25" spans="1:11" s="227" customFormat="1" ht="15.75">
      <c r="A25" s="305" t="s">
        <v>25</v>
      </c>
      <c r="B25" s="306">
        <v>140</v>
      </c>
      <c r="C25" s="315"/>
      <c r="D25" s="247">
        <f>+D26+D27</f>
        <v>31582455942</v>
      </c>
      <c r="E25" s="247">
        <f>+E26+E27</f>
        <v>23249047737</v>
      </c>
      <c r="F25" s="309">
        <f>+D26+D27</f>
        <v>31582455942</v>
      </c>
      <c r="G25" s="309">
        <f>+F25-D25</f>
        <v>0</v>
      </c>
      <c r="H25" s="243"/>
      <c r="I25" s="243"/>
      <c r="K25" s="243"/>
    </row>
    <row r="26" spans="1:11" ht="15.75">
      <c r="A26" s="240" t="s">
        <v>775</v>
      </c>
      <c r="B26" s="241">
        <v>141</v>
      </c>
      <c r="C26" s="242" t="s">
        <v>433</v>
      </c>
      <c r="D26" s="300">
        <v>31582455942</v>
      </c>
      <c r="E26" s="221">
        <v>23249047737</v>
      </c>
      <c r="H26" s="243"/>
      <c r="I26" s="243"/>
      <c r="K26" s="243"/>
    </row>
    <row r="27" spans="1:11" ht="15.75" customHeight="1">
      <c r="A27" s="240" t="s">
        <v>776</v>
      </c>
      <c r="B27" s="241">
        <v>149</v>
      </c>
      <c r="C27" s="242"/>
      <c r="D27" s="300">
        <v>0</v>
      </c>
      <c r="E27" s="221">
        <v>0</v>
      </c>
      <c r="H27" s="243"/>
      <c r="I27" s="243"/>
      <c r="K27" s="243"/>
    </row>
    <row r="28" spans="1:11" s="323" customFormat="1" ht="15.75">
      <c r="A28" s="318" t="s">
        <v>22</v>
      </c>
      <c r="B28" s="319">
        <v>150</v>
      </c>
      <c r="C28" s="320"/>
      <c r="D28" s="321">
        <f>+SUM(D29:D32)</f>
        <v>6760474386</v>
      </c>
      <c r="E28" s="321">
        <f>+SUM(E29:E32)</f>
        <v>87669567</v>
      </c>
      <c r="F28" s="322">
        <f>+D29+D30+D31+D32</f>
        <v>6760474386</v>
      </c>
      <c r="G28" s="322">
        <f>+F28-D28</f>
        <v>0</v>
      </c>
      <c r="H28" s="243"/>
      <c r="I28" s="243"/>
      <c r="K28" s="243"/>
    </row>
    <row r="29" spans="1:11" ht="15.75">
      <c r="A29" s="240" t="s">
        <v>24</v>
      </c>
      <c r="B29" s="241">
        <v>151</v>
      </c>
      <c r="C29" s="242"/>
      <c r="D29" s="300">
        <v>1645860509</v>
      </c>
      <c r="E29" s="221">
        <v>761905</v>
      </c>
      <c r="F29" s="243">
        <f>+D28-F28</f>
        <v>0</v>
      </c>
      <c r="H29" s="243"/>
      <c r="I29" s="243"/>
      <c r="K29" s="243"/>
    </row>
    <row r="30" spans="1:11" ht="15.75" customHeight="1">
      <c r="A30" s="240" t="s">
        <v>23</v>
      </c>
      <c r="B30" s="241">
        <v>152</v>
      </c>
      <c r="C30" s="242"/>
      <c r="D30" s="300">
        <v>3054061610</v>
      </c>
      <c r="E30" s="221">
        <v>0</v>
      </c>
      <c r="H30" s="243"/>
      <c r="I30" s="243"/>
      <c r="K30" s="243"/>
    </row>
    <row r="31" spans="1:11" ht="15.75">
      <c r="A31" s="248" t="s">
        <v>1337</v>
      </c>
      <c r="B31" s="241">
        <v>154</v>
      </c>
      <c r="C31" s="242" t="s">
        <v>434</v>
      </c>
      <c r="D31" s="300">
        <v>1475000</v>
      </c>
      <c r="E31" s="222">
        <v>86907662</v>
      </c>
      <c r="H31" s="243"/>
      <c r="I31" s="243"/>
      <c r="K31" s="243"/>
    </row>
    <row r="32" spans="1:11" ht="15.75">
      <c r="A32" s="248" t="s">
        <v>681</v>
      </c>
      <c r="B32" s="241">
        <v>158</v>
      </c>
      <c r="C32" s="242"/>
      <c r="D32" s="314">
        <v>2059077267</v>
      </c>
      <c r="E32" s="221">
        <v>0</v>
      </c>
      <c r="F32" s="243"/>
      <c r="H32" s="243"/>
      <c r="I32" s="243"/>
      <c r="K32" s="243"/>
    </row>
    <row r="33" spans="1:11" s="312" customFormat="1" ht="33" customHeight="1">
      <c r="A33" s="325" t="s">
        <v>134</v>
      </c>
      <c r="B33" s="326">
        <v>200</v>
      </c>
      <c r="C33" s="327"/>
      <c r="D33" s="328">
        <f>+D34+D40+D51+D54+D60</f>
        <v>154134778330</v>
      </c>
      <c r="E33" s="328">
        <f>+E34+E40+E51+E54+E60</f>
        <v>136773217921</v>
      </c>
      <c r="F33" s="329">
        <f>+D34+D40+D51+D54+D60</f>
        <v>154134778330</v>
      </c>
      <c r="G33" s="309">
        <f>+F33-D33</f>
        <v>0</v>
      </c>
      <c r="H33" s="243"/>
      <c r="I33" s="243"/>
      <c r="K33" s="243"/>
    </row>
    <row r="34" spans="1:25" s="227" customFormat="1" ht="15.75">
      <c r="A34" s="305" t="s">
        <v>682</v>
      </c>
      <c r="B34" s="306">
        <v>210</v>
      </c>
      <c r="C34" s="315"/>
      <c r="D34" s="247">
        <f>+D35+D36+D37+D38+D39</f>
        <v>348739468</v>
      </c>
      <c r="E34" s="247">
        <f>+E35+E36+E37+E38+E39</f>
        <v>311944632</v>
      </c>
      <c r="F34" s="309">
        <f>+D35+D36+D37+D38+D39</f>
        <v>348739468</v>
      </c>
      <c r="G34" s="309">
        <f>+F34-D34</f>
        <v>0</v>
      </c>
      <c r="H34" s="243"/>
      <c r="I34" s="243"/>
      <c r="K34" s="243"/>
      <c r="Y34" s="309"/>
    </row>
    <row r="35" spans="1:11" ht="15.75">
      <c r="A35" s="251" t="s">
        <v>683</v>
      </c>
      <c r="B35" s="241">
        <v>211</v>
      </c>
      <c r="C35" s="242"/>
      <c r="D35" s="300">
        <v>177479106</v>
      </c>
      <c r="E35" s="221">
        <v>177479106</v>
      </c>
      <c r="H35" s="243"/>
      <c r="I35" s="243"/>
      <c r="K35" s="243"/>
    </row>
    <row r="36" spans="1:11" s="342" customFormat="1" ht="15" customHeight="1">
      <c r="A36" s="338" t="s">
        <v>684</v>
      </c>
      <c r="B36" s="339">
        <v>212</v>
      </c>
      <c r="C36" s="340"/>
      <c r="D36" s="341">
        <v>0</v>
      </c>
      <c r="E36" s="341">
        <v>0</v>
      </c>
      <c r="H36" s="243"/>
      <c r="I36" s="243"/>
      <c r="K36" s="243"/>
    </row>
    <row r="37" spans="1:11" ht="15.75">
      <c r="A37" s="240" t="s">
        <v>685</v>
      </c>
      <c r="B37" s="241">
        <v>213</v>
      </c>
      <c r="C37" s="242" t="s">
        <v>435</v>
      </c>
      <c r="D37" s="300">
        <v>0</v>
      </c>
      <c r="E37" s="221">
        <v>0</v>
      </c>
      <c r="H37" s="243"/>
      <c r="I37" s="243"/>
      <c r="K37" s="243"/>
    </row>
    <row r="38" spans="1:11" ht="14.25" customHeight="1">
      <c r="A38" s="251" t="s">
        <v>686</v>
      </c>
      <c r="B38" s="241">
        <v>218</v>
      </c>
      <c r="C38" s="242" t="s">
        <v>436</v>
      </c>
      <c r="D38" s="300">
        <v>171260362</v>
      </c>
      <c r="E38" s="221">
        <v>134465526</v>
      </c>
      <c r="H38" s="243"/>
      <c r="I38" s="243"/>
      <c r="K38" s="243"/>
    </row>
    <row r="39" spans="1:11" ht="15.75">
      <c r="A39" s="251" t="s">
        <v>687</v>
      </c>
      <c r="B39" s="241">
        <v>219</v>
      </c>
      <c r="C39" s="242"/>
      <c r="D39" s="300">
        <v>0</v>
      </c>
      <c r="E39" s="221">
        <v>0</v>
      </c>
      <c r="H39" s="243"/>
      <c r="I39" s="243"/>
      <c r="K39" s="243"/>
    </row>
    <row r="40" spans="1:11" s="227" customFormat="1" ht="15.75">
      <c r="A40" s="305" t="s">
        <v>688</v>
      </c>
      <c r="B40" s="306">
        <v>220</v>
      </c>
      <c r="C40" s="315"/>
      <c r="D40" s="247">
        <f>+D41+D44+D47+D50</f>
        <v>131178742516</v>
      </c>
      <c r="E40" s="247">
        <f>+E41+E44+E47+E50</f>
        <v>115736075253</v>
      </c>
      <c r="F40" s="309">
        <f>+D41+D44+D47+D50</f>
        <v>131178742516</v>
      </c>
      <c r="G40" s="309">
        <f>+F40-D40</f>
        <v>0</v>
      </c>
      <c r="H40" s="243"/>
      <c r="I40" s="243"/>
      <c r="K40" s="243"/>
    </row>
    <row r="41" spans="1:11" ht="15.75">
      <c r="A41" s="240" t="s">
        <v>689</v>
      </c>
      <c r="B41" s="241">
        <v>221</v>
      </c>
      <c r="C41" s="242" t="s">
        <v>437</v>
      </c>
      <c r="D41" s="221">
        <f>+D42+D43</f>
        <v>68300440160</v>
      </c>
      <c r="E41" s="221">
        <f>+E42+E43</f>
        <v>75347369646</v>
      </c>
      <c r="H41" s="243"/>
      <c r="I41" s="243"/>
      <c r="K41" s="243"/>
    </row>
    <row r="42" spans="1:11" ht="15.75">
      <c r="A42" s="240" t="s">
        <v>690</v>
      </c>
      <c r="B42" s="241">
        <v>222</v>
      </c>
      <c r="C42" s="242"/>
      <c r="D42" s="300">
        <v>142688687781</v>
      </c>
      <c r="E42" s="221">
        <v>141591559778</v>
      </c>
      <c r="H42" s="243"/>
      <c r="I42" s="243"/>
      <c r="K42" s="243"/>
    </row>
    <row r="43" spans="1:11" ht="15.75">
      <c r="A43" s="240" t="s">
        <v>1338</v>
      </c>
      <c r="B43" s="241">
        <v>223</v>
      </c>
      <c r="C43" s="242"/>
      <c r="D43" s="301">
        <v>-74388247621</v>
      </c>
      <c r="E43" s="246">
        <v>-66244190132</v>
      </c>
      <c r="H43" s="243"/>
      <c r="I43" s="243"/>
      <c r="K43" s="243"/>
    </row>
    <row r="44" spans="1:11" ht="15.75">
      <c r="A44" s="240" t="s">
        <v>691</v>
      </c>
      <c r="B44" s="241">
        <v>224</v>
      </c>
      <c r="C44" s="242" t="s">
        <v>438</v>
      </c>
      <c r="D44" s="300">
        <f>+D45+D46</f>
        <v>2683332420</v>
      </c>
      <c r="E44" s="221">
        <f>+E45+E46</f>
        <v>2981065464</v>
      </c>
      <c r="H44" s="243"/>
      <c r="I44" s="243"/>
      <c r="K44" s="243"/>
    </row>
    <row r="45" spans="1:11" ht="15.75">
      <c r="A45" s="240" t="s">
        <v>690</v>
      </c>
      <c r="B45" s="241">
        <v>225</v>
      </c>
      <c r="C45" s="242"/>
      <c r="D45" s="300">
        <v>3547640918</v>
      </c>
      <c r="E45" s="221">
        <v>3542701754</v>
      </c>
      <c r="H45" s="243"/>
      <c r="I45" s="243"/>
      <c r="K45" s="243"/>
    </row>
    <row r="46" spans="1:11" ht="15.75">
      <c r="A46" s="240" t="s">
        <v>1338</v>
      </c>
      <c r="B46" s="241">
        <v>226</v>
      </c>
      <c r="C46" s="242"/>
      <c r="D46" s="301">
        <v>-864308498</v>
      </c>
      <c r="E46" s="246">
        <v>-561636290</v>
      </c>
      <c r="H46" s="243"/>
      <c r="I46" s="243"/>
      <c r="K46" s="243"/>
    </row>
    <row r="47" spans="1:11" ht="15.75">
      <c r="A47" s="240" t="s">
        <v>692</v>
      </c>
      <c r="B47" s="241">
        <v>227</v>
      </c>
      <c r="C47" s="242" t="s">
        <v>439</v>
      </c>
      <c r="D47" s="300">
        <f>+D48+D49</f>
        <v>4787979017</v>
      </c>
      <c r="E47" s="221">
        <f>+E48+E49</f>
        <v>4954988717</v>
      </c>
      <c r="H47" s="243"/>
      <c r="I47" s="243"/>
      <c r="K47" s="243"/>
    </row>
    <row r="48" spans="1:11" ht="15.75">
      <c r="A48" s="240" t="s">
        <v>690</v>
      </c>
      <c r="B48" s="241">
        <v>228</v>
      </c>
      <c r="C48" s="242"/>
      <c r="D48" s="300">
        <v>5764010151</v>
      </c>
      <c r="E48" s="221">
        <v>5764010151</v>
      </c>
      <c r="H48" s="243"/>
      <c r="I48" s="243"/>
      <c r="K48" s="243"/>
    </row>
    <row r="49" spans="1:11" ht="15.75">
      <c r="A49" s="240" t="s">
        <v>1338</v>
      </c>
      <c r="B49" s="241">
        <v>229</v>
      </c>
      <c r="C49" s="242"/>
      <c r="D49" s="301">
        <v>-976031134</v>
      </c>
      <c r="E49" s="246">
        <v>-809021434</v>
      </c>
      <c r="H49" s="243"/>
      <c r="I49" s="243"/>
      <c r="K49" s="243"/>
    </row>
    <row r="50" spans="1:11" ht="15.75">
      <c r="A50" s="240" t="s">
        <v>693</v>
      </c>
      <c r="B50" s="241">
        <v>230</v>
      </c>
      <c r="C50" s="242" t="s">
        <v>440</v>
      </c>
      <c r="D50" s="300">
        <v>55406990919</v>
      </c>
      <c r="E50" s="221">
        <v>32452651426</v>
      </c>
      <c r="H50" s="243"/>
      <c r="I50" s="243"/>
      <c r="K50" s="243"/>
    </row>
    <row r="51" spans="1:11" s="227" customFormat="1" ht="15.75">
      <c r="A51" s="305" t="s">
        <v>694</v>
      </c>
      <c r="B51" s="306">
        <v>240</v>
      </c>
      <c r="C51" s="315" t="s">
        <v>1160</v>
      </c>
      <c r="D51" s="247">
        <f>+D52+D53</f>
        <v>0</v>
      </c>
      <c r="E51" s="247">
        <f>+E52+E53</f>
        <v>0</v>
      </c>
      <c r="H51" s="243"/>
      <c r="I51" s="243"/>
      <c r="K51" s="243"/>
    </row>
    <row r="52" spans="1:11" ht="15.75">
      <c r="A52" s="240" t="s">
        <v>690</v>
      </c>
      <c r="B52" s="241">
        <v>241</v>
      </c>
      <c r="C52" s="242"/>
      <c r="D52" s="300">
        <v>0</v>
      </c>
      <c r="E52" s="221">
        <v>0</v>
      </c>
      <c r="H52" s="243"/>
      <c r="I52" s="243"/>
      <c r="K52" s="243"/>
    </row>
    <row r="53" spans="1:11" ht="15.75">
      <c r="A53" s="240" t="s">
        <v>1338</v>
      </c>
      <c r="B53" s="241">
        <v>242</v>
      </c>
      <c r="C53" s="242"/>
      <c r="D53" s="300">
        <v>0</v>
      </c>
      <c r="E53" s="221">
        <v>0</v>
      </c>
      <c r="H53" s="243"/>
      <c r="I53" s="243"/>
      <c r="K53" s="243"/>
    </row>
    <row r="54" spans="1:11" s="227" customFormat="1" ht="15.75">
      <c r="A54" s="317" t="s">
        <v>695</v>
      </c>
      <c r="B54" s="306">
        <v>250</v>
      </c>
      <c r="C54" s="315"/>
      <c r="D54" s="247">
        <f>+D55+D56+D57+D58</f>
        <v>19961057430</v>
      </c>
      <c r="E54" s="247">
        <f>+E55+E56+E57+E58</f>
        <v>16536042430</v>
      </c>
      <c r="F54" s="309">
        <f>+D55+D56+D57+D58</f>
        <v>19961057430</v>
      </c>
      <c r="G54" s="309">
        <f>+F54-D54</f>
        <v>0</v>
      </c>
      <c r="H54" s="243"/>
      <c r="I54" s="243"/>
      <c r="K54" s="243"/>
    </row>
    <row r="55" spans="1:11" ht="15.75">
      <c r="A55" s="240" t="s">
        <v>696</v>
      </c>
      <c r="B55" s="241">
        <v>251</v>
      </c>
      <c r="C55" s="242"/>
      <c r="D55" s="300">
        <v>0</v>
      </c>
      <c r="E55" s="221">
        <v>0</v>
      </c>
      <c r="H55" s="243"/>
      <c r="I55" s="243"/>
      <c r="K55" s="243"/>
    </row>
    <row r="56" spans="1:11" ht="15.75">
      <c r="A56" s="252" t="s">
        <v>697</v>
      </c>
      <c r="B56" s="241">
        <v>252</v>
      </c>
      <c r="C56" s="242"/>
      <c r="D56" s="300">
        <v>19292957430</v>
      </c>
      <c r="E56" s="221">
        <v>16536042430</v>
      </c>
      <c r="H56" s="243"/>
      <c r="I56" s="243"/>
      <c r="K56" s="243"/>
    </row>
    <row r="57" spans="1:11" ht="15.75">
      <c r="A57" s="252" t="s">
        <v>698</v>
      </c>
      <c r="B57" s="241">
        <v>258</v>
      </c>
      <c r="C57" s="242" t="s">
        <v>1161</v>
      </c>
      <c r="D57" s="300">
        <v>668100000</v>
      </c>
      <c r="E57" s="221">
        <v>0</v>
      </c>
      <c r="H57" s="243"/>
      <c r="I57" s="243"/>
      <c r="K57" s="243"/>
    </row>
    <row r="58" spans="1:11" ht="15.75" customHeight="1">
      <c r="A58" s="240" t="s">
        <v>699</v>
      </c>
      <c r="B58" s="241">
        <v>259</v>
      </c>
      <c r="C58" s="242"/>
      <c r="D58" s="300">
        <v>0</v>
      </c>
      <c r="E58" s="221">
        <v>0</v>
      </c>
      <c r="H58" s="243"/>
      <c r="I58" s="243"/>
      <c r="K58" s="243"/>
    </row>
    <row r="59" spans="1:11" ht="15.75">
      <c r="A59" s="299"/>
      <c r="B59" s="241"/>
      <c r="C59" s="242"/>
      <c r="D59" s="300"/>
      <c r="E59" s="221"/>
      <c r="H59" s="243"/>
      <c r="I59" s="243"/>
      <c r="K59" s="243"/>
    </row>
    <row r="60" spans="1:11" s="227" customFormat="1" ht="15.75">
      <c r="A60" s="324" t="s">
        <v>700</v>
      </c>
      <c r="B60" s="306">
        <v>260</v>
      </c>
      <c r="C60" s="315"/>
      <c r="D60" s="247">
        <f>+SUM(D61:D63)</f>
        <v>2646238916</v>
      </c>
      <c r="E60" s="247">
        <f>+SUM(E61:E63)</f>
        <v>4189155606</v>
      </c>
      <c r="F60" s="309">
        <f>+D61+D62+D63</f>
        <v>2646238916</v>
      </c>
      <c r="G60" s="309">
        <f>+F60-D60</f>
        <v>0</v>
      </c>
      <c r="H60" s="243"/>
      <c r="I60" s="243"/>
      <c r="K60" s="243"/>
    </row>
    <row r="61" spans="1:11" ht="15.75">
      <c r="A61" s="248" t="s">
        <v>701</v>
      </c>
      <c r="B61" s="241">
        <v>261</v>
      </c>
      <c r="C61" s="242" t="s">
        <v>1162</v>
      </c>
      <c r="D61" s="300">
        <v>2646238916</v>
      </c>
      <c r="E61" s="221">
        <v>4189155606</v>
      </c>
      <c r="H61" s="243"/>
      <c r="I61" s="243"/>
      <c r="K61" s="243"/>
    </row>
    <row r="62" spans="1:11" ht="15.75">
      <c r="A62" s="248" t="s">
        <v>702</v>
      </c>
      <c r="B62" s="241">
        <v>262</v>
      </c>
      <c r="C62" s="242" t="s">
        <v>1163</v>
      </c>
      <c r="D62" s="300">
        <v>0</v>
      </c>
      <c r="E62" s="221">
        <v>0</v>
      </c>
      <c r="H62" s="243"/>
      <c r="I62" s="243"/>
      <c r="K62" s="243"/>
    </row>
    <row r="63" spans="1:11" ht="15.75">
      <c r="A63" s="248" t="s">
        <v>703</v>
      </c>
      <c r="B63" s="241">
        <v>268</v>
      </c>
      <c r="C63" s="242"/>
      <c r="D63" s="300">
        <v>0</v>
      </c>
      <c r="E63" s="221">
        <v>0</v>
      </c>
      <c r="H63" s="243"/>
      <c r="I63" s="243"/>
      <c r="K63" s="243"/>
    </row>
    <row r="64" spans="1:11" s="219" customFormat="1" ht="15.75" customHeight="1">
      <c r="A64" s="254" t="s">
        <v>704</v>
      </c>
      <c r="B64" s="255">
        <v>270</v>
      </c>
      <c r="C64" s="256"/>
      <c r="D64" s="257">
        <f>D11+D33</f>
        <v>265932365313</v>
      </c>
      <c r="E64" s="257">
        <f>E11+E33</f>
        <v>220630431816</v>
      </c>
      <c r="F64" s="297">
        <f>+D11+D33</f>
        <v>265932365313</v>
      </c>
      <c r="G64" s="312"/>
      <c r="H64" s="243"/>
      <c r="I64" s="243"/>
      <c r="K64" s="243"/>
    </row>
    <row r="65" spans="1:11" s="219" customFormat="1" ht="30.75" customHeight="1">
      <c r="A65" s="258" t="s">
        <v>705</v>
      </c>
      <c r="B65" s="255" t="s">
        <v>706</v>
      </c>
      <c r="C65" s="256"/>
      <c r="D65" s="238" t="s">
        <v>648</v>
      </c>
      <c r="E65" s="238" t="s">
        <v>11</v>
      </c>
      <c r="G65" s="312"/>
      <c r="H65" s="243"/>
      <c r="I65" s="243"/>
      <c r="K65" s="243"/>
    </row>
    <row r="66" spans="1:11" s="219" customFormat="1" ht="15.75" customHeight="1">
      <c r="A66" s="260" t="s">
        <v>707</v>
      </c>
      <c r="B66" s="280">
        <v>300</v>
      </c>
      <c r="C66" s="281"/>
      <c r="D66" s="303">
        <f>D67+D78</f>
        <v>193876280299</v>
      </c>
      <c r="E66" s="282">
        <f>E67+E78</f>
        <v>156569986107</v>
      </c>
      <c r="F66" s="298">
        <f>+D67+D78</f>
        <v>193876280299</v>
      </c>
      <c r="G66" s="312"/>
      <c r="H66" s="243"/>
      <c r="I66" s="243"/>
      <c r="K66" s="243"/>
    </row>
    <row r="67" spans="1:25" s="227" customFormat="1" ht="15.75">
      <c r="A67" s="305" t="s">
        <v>708</v>
      </c>
      <c r="B67" s="306">
        <v>310</v>
      </c>
      <c r="C67" s="315"/>
      <c r="D67" s="330">
        <f>+D68+D69+D70+D71+D72+D73+D74+D75+D76+D77</f>
        <v>147730896983</v>
      </c>
      <c r="E67" s="330">
        <f>+E68+E69+E70+E71+E72+E73+E74+E75+E76+E77</f>
        <v>127923179882</v>
      </c>
      <c r="F67" s="309">
        <f>+D68+D69+D70+D71+D72+D73+D74+D75+D76+D77</f>
        <v>147730896983</v>
      </c>
      <c r="G67" s="309">
        <f>+F67-D67</f>
        <v>0</v>
      </c>
      <c r="H67" s="243"/>
      <c r="I67" s="243"/>
      <c r="K67" s="243"/>
      <c r="Y67" s="309"/>
    </row>
    <row r="68" spans="1:11" ht="15.75">
      <c r="A68" s="248" t="s">
        <v>709</v>
      </c>
      <c r="B68" s="241">
        <v>311</v>
      </c>
      <c r="C68" s="242" t="s">
        <v>1164</v>
      </c>
      <c r="D68" s="300">
        <v>82814606575</v>
      </c>
      <c r="E68" s="221">
        <v>80550757265</v>
      </c>
      <c r="H68" s="243"/>
      <c r="I68" s="243"/>
      <c r="K68" s="243"/>
    </row>
    <row r="69" spans="1:11" ht="15.75">
      <c r="A69" s="240" t="s">
        <v>710</v>
      </c>
      <c r="B69" s="241">
        <v>312</v>
      </c>
      <c r="C69" s="242"/>
      <c r="D69" s="300">
        <v>43734986360</v>
      </c>
      <c r="E69" s="221">
        <v>31817466314</v>
      </c>
      <c r="H69" s="243"/>
      <c r="I69" s="243"/>
      <c r="K69" s="243"/>
    </row>
    <row r="70" spans="1:11" ht="15.75">
      <c r="A70" s="240" t="s">
        <v>711</v>
      </c>
      <c r="B70" s="241">
        <v>313</v>
      </c>
      <c r="C70" s="242"/>
      <c r="D70" s="300">
        <v>2202665416</v>
      </c>
      <c r="E70" s="221">
        <v>931463349</v>
      </c>
      <c r="H70" s="243"/>
      <c r="I70" s="243"/>
      <c r="K70" s="243"/>
    </row>
    <row r="71" spans="1:11" ht="15.75">
      <c r="A71" s="240" t="s">
        <v>712</v>
      </c>
      <c r="B71" s="241">
        <v>314</v>
      </c>
      <c r="C71" s="242" t="s">
        <v>1165</v>
      </c>
      <c r="D71" s="300">
        <v>5179040383</v>
      </c>
      <c r="E71" s="222">
        <v>3481432701</v>
      </c>
      <c r="H71" s="243"/>
      <c r="I71" s="243"/>
      <c r="K71" s="243"/>
    </row>
    <row r="72" spans="1:11" ht="15.75">
      <c r="A72" s="240" t="s">
        <v>713</v>
      </c>
      <c r="B72" s="241">
        <v>315</v>
      </c>
      <c r="C72" s="242"/>
      <c r="D72" s="300">
        <v>5784483720</v>
      </c>
      <c r="E72" s="221">
        <v>4146173882</v>
      </c>
      <c r="H72" s="243"/>
      <c r="I72" s="243"/>
      <c r="K72" s="243"/>
    </row>
    <row r="73" spans="1:11" ht="15.75">
      <c r="A73" s="240" t="s">
        <v>714</v>
      </c>
      <c r="B73" s="241">
        <v>316</v>
      </c>
      <c r="C73" s="242" t="s">
        <v>1166</v>
      </c>
      <c r="D73" s="300">
        <v>1640507116</v>
      </c>
      <c r="E73" s="221">
        <v>922468101</v>
      </c>
      <c r="H73" s="243"/>
      <c r="I73" s="243"/>
      <c r="K73" s="243"/>
    </row>
    <row r="74" spans="1:11" ht="15.75">
      <c r="A74" s="240" t="s">
        <v>715</v>
      </c>
      <c r="B74" s="241">
        <v>317</v>
      </c>
      <c r="C74" s="242"/>
      <c r="D74" s="300">
        <v>3056128287</v>
      </c>
      <c r="E74" s="222">
        <v>0</v>
      </c>
      <c r="H74" s="243"/>
      <c r="I74" s="243"/>
      <c r="K74" s="243"/>
    </row>
    <row r="75" spans="1:11" ht="15.75">
      <c r="A75" s="240" t="s">
        <v>716</v>
      </c>
      <c r="B75" s="241">
        <v>318</v>
      </c>
      <c r="C75" s="242"/>
      <c r="D75" s="300">
        <v>0</v>
      </c>
      <c r="E75" s="221">
        <v>0</v>
      </c>
      <c r="H75" s="243"/>
      <c r="I75" s="243"/>
      <c r="K75" s="243"/>
    </row>
    <row r="76" spans="1:11" ht="15.75">
      <c r="A76" s="240" t="s">
        <v>717</v>
      </c>
      <c r="B76" s="241">
        <v>319</v>
      </c>
      <c r="C76" s="242" t="s">
        <v>1167</v>
      </c>
      <c r="D76" s="300">
        <v>3318479126</v>
      </c>
      <c r="E76" s="222">
        <v>6073418270</v>
      </c>
      <c r="F76" s="283"/>
      <c r="H76" s="243"/>
      <c r="I76" s="243"/>
      <c r="K76" s="243"/>
    </row>
    <row r="77" spans="1:11" ht="15.75">
      <c r="A77" s="240" t="s">
        <v>718</v>
      </c>
      <c r="B77" s="241">
        <v>320</v>
      </c>
      <c r="C77" s="242"/>
      <c r="D77" s="300">
        <v>0</v>
      </c>
      <c r="E77" s="221">
        <v>0</v>
      </c>
      <c r="H77" s="243"/>
      <c r="I77" s="243"/>
      <c r="K77" s="243"/>
    </row>
    <row r="78" spans="1:11" s="227" customFormat="1" ht="15.75">
      <c r="A78" s="305" t="s">
        <v>719</v>
      </c>
      <c r="B78" s="306">
        <v>330</v>
      </c>
      <c r="C78" s="315"/>
      <c r="D78" s="330">
        <f>+D79+D80+D81+D82+D83+D84+D85</f>
        <v>46145383316</v>
      </c>
      <c r="E78" s="330">
        <f>+E79+E80+E81+E82+E83+E84+E85</f>
        <v>28646806225</v>
      </c>
      <c r="F78" s="309">
        <f>+D79+D80+D81+D82+D83+D84+D85</f>
        <v>46145383316</v>
      </c>
      <c r="G78" s="309">
        <f>+F78-D78</f>
        <v>0</v>
      </c>
      <c r="H78" s="243"/>
      <c r="I78" s="243"/>
      <c r="K78" s="243"/>
    </row>
    <row r="79" spans="1:11" ht="15.75">
      <c r="A79" s="248" t="s">
        <v>720</v>
      </c>
      <c r="B79" s="241">
        <v>331</v>
      </c>
      <c r="C79" s="242"/>
      <c r="D79" s="300">
        <v>47730350</v>
      </c>
      <c r="E79" s="221">
        <v>47730350</v>
      </c>
      <c r="H79" s="243"/>
      <c r="I79" s="243"/>
      <c r="K79" s="243"/>
    </row>
    <row r="80" spans="1:11" ht="15.75">
      <c r="A80" s="240" t="s">
        <v>721</v>
      </c>
      <c r="B80" s="241">
        <v>332</v>
      </c>
      <c r="C80" s="242" t="s">
        <v>1168</v>
      </c>
      <c r="D80" s="300">
        <v>0</v>
      </c>
      <c r="E80" s="222">
        <v>0</v>
      </c>
      <c r="H80" s="243"/>
      <c r="I80" s="243"/>
      <c r="K80" s="243"/>
    </row>
    <row r="81" spans="1:11" ht="15.75">
      <c r="A81" s="240" t="s">
        <v>722</v>
      </c>
      <c r="B81" s="241">
        <v>333</v>
      </c>
      <c r="C81" s="242"/>
      <c r="D81" s="300">
        <v>0</v>
      </c>
      <c r="E81" s="221">
        <v>363000000</v>
      </c>
      <c r="H81" s="243"/>
      <c r="I81" s="243"/>
      <c r="K81" s="243"/>
    </row>
    <row r="82" spans="1:11" ht="15.75">
      <c r="A82" s="240" t="s">
        <v>723</v>
      </c>
      <c r="B82" s="241">
        <v>334</v>
      </c>
      <c r="C82" s="242" t="s">
        <v>1169</v>
      </c>
      <c r="D82" s="300">
        <v>46003045637</v>
      </c>
      <c r="E82" s="221">
        <v>28236075875</v>
      </c>
      <c r="H82" s="243"/>
      <c r="I82" s="243"/>
      <c r="K82" s="243"/>
    </row>
    <row r="83" spans="1:11" ht="15" customHeight="1">
      <c r="A83" s="240" t="s">
        <v>724</v>
      </c>
      <c r="B83" s="241">
        <v>335</v>
      </c>
      <c r="C83" s="242" t="s">
        <v>1163</v>
      </c>
      <c r="D83" s="300">
        <v>0</v>
      </c>
      <c r="E83" s="221">
        <v>0</v>
      </c>
      <c r="H83" s="243"/>
      <c r="I83" s="243"/>
      <c r="K83" s="243"/>
    </row>
    <row r="84" spans="1:11" ht="15" customHeight="1">
      <c r="A84" s="244" t="s">
        <v>1195</v>
      </c>
      <c r="B84" s="241">
        <v>336</v>
      </c>
      <c r="C84" s="242"/>
      <c r="D84" s="300">
        <v>94607329</v>
      </c>
      <c r="E84" s="221">
        <v>0</v>
      </c>
      <c r="H84" s="243"/>
      <c r="I84" s="243"/>
      <c r="K84" s="243"/>
    </row>
    <row r="85" spans="1:11" ht="15.75">
      <c r="A85" s="240" t="s">
        <v>725</v>
      </c>
      <c r="B85" s="241">
        <v>337</v>
      </c>
      <c r="C85" s="242"/>
      <c r="D85" s="300">
        <v>0</v>
      </c>
      <c r="E85" s="221">
        <v>0</v>
      </c>
      <c r="H85" s="243"/>
      <c r="I85" s="243"/>
      <c r="K85" s="243"/>
    </row>
    <row r="86" spans="1:25" s="219" customFormat="1" ht="15.75" customHeight="1">
      <c r="A86" s="260" t="s">
        <v>726</v>
      </c>
      <c r="B86" s="249">
        <v>400</v>
      </c>
      <c r="C86" s="250"/>
      <c r="D86" s="261">
        <f>+D87+D99</f>
        <v>72056085014</v>
      </c>
      <c r="E86" s="261">
        <f>+E87+E99</f>
        <v>64060445709</v>
      </c>
      <c r="F86" s="297">
        <f>+D87+D99</f>
        <v>72056085014</v>
      </c>
      <c r="G86" s="329">
        <f>+F86-D86</f>
        <v>0</v>
      </c>
      <c r="H86" s="243"/>
      <c r="I86" s="243"/>
      <c r="K86" s="243"/>
      <c r="Y86" s="298"/>
    </row>
    <row r="87" spans="1:11" s="227" customFormat="1" ht="15.75">
      <c r="A87" s="305" t="s">
        <v>728</v>
      </c>
      <c r="B87" s="306">
        <v>410</v>
      </c>
      <c r="C87" s="375" t="s">
        <v>1170</v>
      </c>
      <c r="D87" s="247">
        <f>+SUM(D88:D98)</f>
        <v>72450495352</v>
      </c>
      <c r="E87" s="247">
        <f>+SUM(E88:E98)</f>
        <v>64078784047</v>
      </c>
      <c r="F87" s="309">
        <f>+D88+D89+D90+D91+D92+D93+D94+D95+D96+D97+D98</f>
        <v>72450495352</v>
      </c>
      <c r="G87" s="309">
        <f>+F87-D87</f>
        <v>0</v>
      </c>
      <c r="H87" s="243"/>
      <c r="I87" s="243"/>
      <c r="K87" s="243"/>
    </row>
    <row r="88" spans="1:11" s="342" customFormat="1" ht="15.75">
      <c r="A88" s="343" t="s">
        <v>727</v>
      </c>
      <c r="B88" s="339">
        <v>411</v>
      </c>
      <c r="C88" s="340"/>
      <c r="D88" s="341">
        <v>55756270000</v>
      </c>
      <c r="E88" s="341">
        <f>59222610000-8000000000</f>
        <v>51222610000</v>
      </c>
      <c r="F88" s="344">
        <f>+F87-D87</f>
        <v>0</v>
      </c>
      <c r="H88" s="243"/>
      <c r="I88" s="243"/>
      <c r="K88" s="243"/>
    </row>
    <row r="89" spans="1:11" ht="15" customHeight="1">
      <c r="A89" s="240" t="s">
        <v>729</v>
      </c>
      <c r="B89" s="241">
        <v>412</v>
      </c>
      <c r="C89" s="242"/>
      <c r="D89" s="300">
        <v>5292220000</v>
      </c>
      <c r="E89" s="221">
        <v>0</v>
      </c>
      <c r="H89" s="243"/>
      <c r="I89" s="243"/>
      <c r="K89" s="243"/>
    </row>
    <row r="90" spans="1:11" ht="15.75">
      <c r="A90" s="240" t="s">
        <v>730</v>
      </c>
      <c r="B90" s="241">
        <v>413</v>
      </c>
      <c r="C90" s="242"/>
      <c r="D90" s="300">
        <v>0</v>
      </c>
      <c r="E90" s="221">
        <v>0</v>
      </c>
      <c r="H90" s="243"/>
      <c r="I90" s="243"/>
      <c r="K90" s="243"/>
    </row>
    <row r="91" spans="1:11" ht="15.75">
      <c r="A91" s="240" t="s">
        <v>731</v>
      </c>
      <c r="B91" s="241">
        <v>414</v>
      </c>
      <c r="C91" s="242"/>
      <c r="D91" s="300">
        <v>18790000</v>
      </c>
      <c r="E91" s="221">
        <v>0</v>
      </c>
      <c r="H91" s="243"/>
      <c r="I91" s="243"/>
      <c r="K91" s="243"/>
    </row>
    <row r="92" spans="1:11" ht="15.75">
      <c r="A92" s="240" t="s">
        <v>732</v>
      </c>
      <c r="B92" s="241">
        <v>415</v>
      </c>
      <c r="C92" s="242"/>
      <c r="D92" s="300">
        <v>0</v>
      </c>
      <c r="E92" s="221">
        <v>0</v>
      </c>
      <c r="H92" s="243"/>
      <c r="I92" s="243"/>
      <c r="K92" s="243"/>
    </row>
    <row r="93" spans="1:11" ht="15.75">
      <c r="A93" s="240" t="s">
        <v>733</v>
      </c>
      <c r="B93" s="241">
        <v>416</v>
      </c>
      <c r="C93" s="242"/>
      <c r="D93" s="300">
        <v>2466773</v>
      </c>
      <c r="E93" s="221">
        <v>0</v>
      </c>
      <c r="H93" s="243"/>
      <c r="I93" s="243"/>
      <c r="K93" s="243"/>
    </row>
    <row r="94" spans="1:11" ht="15.75">
      <c r="A94" s="240" t="s">
        <v>734</v>
      </c>
      <c r="B94" s="241">
        <v>417</v>
      </c>
      <c r="C94" s="242"/>
      <c r="D94" s="300">
        <v>2457410134</v>
      </c>
      <c r="E94" s="221">
        <v>2457410134</v>
      </c>
      <c r="H94" s="243"/>
      <c r="I94" s="243"/>
      <c r="K94" s="243"/>
    </row>
    <row r="95" spans="1:11" ht="15.75">
      <c r="A95" s="240" t="s">
        <v>735</v>
      </c>
      <c r="B95" s="241">
        <v>418</v>
      </c>
      <c r="C95" s="242"/>
      <c r="D95" s="300">
        <v>2203848949</v>
      </c>
      <c r="E95" s="221">
        <v>2222638949</v>
      </c>
      <c r="H95" s="243"/>
      <c r="I95" s="243"/>
      <c r="K95" s="243"/>
    </row>
    <row r="96" spans="1:11" ht="15.75">
      <c r="A96" s="240" t="s">
        <v>736</v>
      </c>
      <c r="B96" s="241">
        <v>419</v>
      </c>
      <c r="C96" s="242"/>
      <c r="D96" s="300">
        <v>0</v>
      </c>
      <c r="E96" s="221">
        <v>0</v>
      </c>
      <c r="H96" s="243"/>
      <c r="I96" s="243"/>
      <c r="K96" s="243"/>
    </row>
    <row r="97" spans="1:11" ht="15.75">
      <c r="A97" s="240" t="s">
        <v>737</v>
      </c>
      <c r="B97" s="241">
        <v>420</v>
      </c>
      <c r="C97" s="242"/>
      <c r="D97" s="300">
        <v>6719489496</v>
      </c>
      <c r="E97" s="221">
        <v>8176124964</v>
      </c>
      <c r="H97" s="243"/>
      <c r="I97" s="243"/>
      <c r="K97" s="243"/>
    </row>
    <row r="98" spans="1:11" ht="15.75">
      <c r="A98" s="240" t="s">
        <v>738</v>
      </c>
      <c r="B98" s="241">
        <v>421</v>
      </c>
      <c r="C98" s="242"/>
      <c r="D98" s="300">
        <v>0</v>
      </c>
      <c r="E98" s="221">
        <v>0</v>
      </c>
      <c r="H98" s="243"/>
      <c r="I98" s="243"/>
      <c r="K98" s="243"/>
    </row>
    <row r="99" spans="1:11" s="223" customFormat="1" ht="15.75">
      <c r="A99" s="262" t="s">
        <v>739</v>
      </c>
      <c r="B99" s="239">
        <v>430</v>
      </c>
      <c r="C99" s="245"/>
      <c r="D99" s="259">
        <f>+D100+D101+D102</f>
        <v>-394410338</v>
      </c>
      <c r="E99" s="259">
        <f>+E100+E101+E102</f>
        <v>-18338338</v>
      </c>
      <c r="G99" s="227"/>
      <c r="H99" s="243"/>
      <c r="I99" s="243"/>
      <c r="K99" s="243"/>
    </row>
    <row r="100" spans="1:11" ht="15.75">
      <c r="A100" s="263" t="s">
        <v>740</v>
      </c>
      <c r="B100" s="241">
        <v>431</v>
      </c>
      <c r="C100" s="242"/>
      <c r="D100" s="246">
        <v>-394410338</v>
      </c>
      <c r="E100" s="246">
        <v>-18338338</v>
      </c>
      <c r="H100" s="243"/>
      <c r="I100" s="243"/>
      <c r="K100" s="243"/>
    </row>
    <row r="101" spans="1:11" ht="15.75">
      <c r="A101" s="240" t="s">
        <v>741</v>
      </c>
      <c r="B101" s="241">
        <v>432</v>
      </c>
      <c r="C101" s="242" t="s">
        <v>1171</v>
      </c>
      <c r="D101" s="300">
        <v>0</v>
      </c>
      <c r="E101" s="221">
        <v>0</v>
      </c>
      <c r="H101" s="243"/>
      <c r="I101" s="243"/>
      <c r="K101" s="243"/>
    </row>
    <row r="102" spans="1:11" ht="15.75">
      <c r="A102" s="248" t="s">
        <v>742</v>
      </c>
      <c r="B102" s="253">
        <v>433</v>
      </c>
      <c r="C102" s="242"/>
      <c r="D102" s="300">
        <v>0</v>
      </c>
      <c r="E102" s="221">
        <v>0</v>
      </c>
      <c r="H102" s="243"/>
      <c r="I102" s="243"/>
      <c r="K102" s="243"/>
    </row>
    <row r="103" spans="1:11" s="219" customFormat="1" ht="15.75" customHeight="1">
      <c r="A103" s="265" t="s">
        <v>743</v>
      </c>
      <c r="B103" s="255">
        <v>440</v>
      </c>
      <c r="C103" s="266"/>
      <c r="D103" s="302">
        <f>D66+D86</f>
        <v>265932365313</v>
      </c>
      <c r="E103" s="257">
        <f>E66+E86</f>
        <v>220630431816</v>
      </c>
      <c r="F103" s="298">
        <f>+D66+D86</f>
        <v>265932365313</v>
      </c>
      <c r="G103" s="312"/>
      <c r="H103" s="243"/>
      <c r="K103" s="243"/>
    </row>
    <row r="104" spans="1:11" ht="15.75" hidden="1">
      <c r="A104" s="267"/>
      <c r="B104" s="274"/>
      <c r="C104" s="274"/>
      <c r="D104" s="267">
        <f>+D64-D103</f>
        <v>0</v>
      </c>
      <c r="E104" s="267">
        <f>+E64-E103</f>
        <v>0</v>
      </c>
      <c r="K104" s="243"/>
    </row>
    <row r="105" spans="1:11" ht="15.75">
      <c r="A105" s="267"/>
      <c r="B105" s="274"/>
      <c r="C105" s="274"/>
      <c r="D105" s="267"/>
      <c r="E105" s="267"/>
      <c r="F105" s="283">
        <f>+D103-D64</f>
        <v>0</v>
      </c>
      <c r="G105" s="283">
        <f>+E103-E64</f>
        <v>0</v>
      </c>
      <c r="K105" s="243"/>
    </row>
    <row r="106" spans="1:11" ht="15.75">
      <c r="A106" s="452" t="s">
        <v>744</v>
      </c>
      <c r="B106" s="452"/>
      <c r="C106" s="452"/>
      <c r="D106" s="452"/>
      <c r="E106" s="452"/>
      <c r="K106" s="243"/>
    </row>
    <row r="107" spans="1:11" ht="15.75">
      <c r="A107" s="275"/>
      <c r="B107" s="275"/>
      <c r="C107" s="275"/>
      <c r="D107" s="275"/>
      <c r="E107" s="275"/>
      <c r="K107" s="243"/>
    </row>
    <row r="108" spans="1:11" s="220" customFormat="1" ht="56.25" customHeight="1">
      <c r="A108" s="373" t="s">
        <v>745</v>
      </c>
      <c r="B108" s="374"/>
      <c r="C108" s="373" t="s">
        <v>747</v>
      </c>
      <c r="D108" s="268" t="s">
        <v>746</v>
      </c>
      <c r="E108" s="268" t="s">
        <v>748</v>
      </c>
      <c r="G108" s="313"/>
      <c r="K108" s="243"/>
    </row>
    <row r="109" spans="1:11" ht="15.75">
      <c r="A109" s="269" t="s">
        <v>749</v>
      </c>
      <c r="B109" s="270"/>
      <c r="C109" s="242">
        <v>24</v>
      </c>
      <c r="D109" s="221"/>
      <c r="E109" s="221"/>
      <c r="K109" s="243"/>
    </row>
    <row r="110" spans="1:11" ht="15.75">
      <c r="A110" s="271" t="s">
        <v>750</v>
      </c>
      <c r="B110" s="272"/>
      <c r="C110" s="272"/>
      <c r="D110" s="221"/>
      <c r="E110" s="221"/>
      <c r="K110" s="243"/>
    </row>
    <row r="111" spans="1:11" ht="15.75">
      <c r="A111" s="271" t="s">
        <v>751</v>
      </c>
      <c r="B111" s="272"/>
      <c r="C111" s="272"/>
      <c r="D111" s="221"/>
      <c r="E111" s="221"/>
      <c r="K111" s="243"/>
    </row>
    <row r="112" spans="1:11" ht="15.75">
      <c r="A112" s="271" t="s">
        <v>752</v>
      </c>
      <c r="B112" s="273"/>
      <c r="C112" s="273"/>
      <c r="D112" s="221"/>
      <c r="E112" s="221"/>
      <c r="K112" s="243"/>
    </row>
    <row r="113" spans="1:11" ht="15.75">
      <c r="A113" s="271" t="s">
        <v>753</v>
      </c>
      <c r="B113" s="273"/>
      <c r="C113" s="273"/>
      <c r="D113" s="221"/>
      <c r="E113" s="221"/>
      <c r="K113" s="243"/>
    </row>
    <row r="114" spans="1:11" ht="15.75">
      <c r="A114" s="271" t="s">
        <v>754</v>
      </c>
      <c r="B114" s="273"/>
      <c r="C114" s="273"/>
      <c r="D114" s="221"/>
      <c r="E114" s="221"/>
      <c r="K114" s="243"/>
    </row>
    <row r="115" spans="1:11" ht="15.75">
      <c r="A115" s="284"/>
      <c r="B115" s="285"/>
      <c r="C115" s="285"/>
      <c r="D115" s="286"/>
      <c r="E115" s="286"/>
      <c r="K115" s="243"/>
    </row>
    <row r="116" spans="1:5" ht="15.75">
      <c r="A116" s="226" t="s">
        <v>1193</v>
      </c>
      <c r="B116" s="274"/>
      <c r="C116" s="274"/>
      <c r="D116" s="275"/>
      <c r="E116" s="276"/>
    </row>
    <row r="117" spans="1:5" ht="15.75">
      <c r="A117" s="226"/>
      <c r="B117" s="274"/>
      <c r="C117" s="274"/>
      <c r="D117" s="275"/>
      <c r="E117" s="276"/>
    </row>
    <row r="118" spans="4:5" ht="15.75">
      <c r="D118" s="453" t="s">
        <v>756</v>
      </c>
      <c r="E118" s="453"/>
    </row>
    <row r="119" spans="1:5" ht="15.75">
      <c r="A119" s="217" t="s">
        <v>755</v>
      </c>
      <c r="B119" s="217"/>
      <c r="C119" s="217"/>
      <c r="D119" s="450" t="s">
        <v>649</v>
      </c>
      <c r="E119" s="450"/>
    </row>
    <row r="120" spans="1:7" s="220" customFormat="1" ht="15">
      <c r="A120" s="220" t="s">
        <v>503</v>
      </c>
      <c r="D120" s="446" t="s">
        <v>757</v>
      </c>
      <c r="E120" s="446"/>
      <c r="G120" s="313"/>
    </row>
    <row r="125" spans="1:5" ht="16.5">
      <c r="A125" s="223" t="s">
        <v>280</v>
      </c>
      <c r="D125" s="456" t="s">
        <v>281</v>
      </c>
      <c r="E125" s="456"/>
    </row>
    <row r="130" ht="20.25" customHeight="1"/>
    <row r="131" ht="23.25" customHeight="1"/>
    <row r="132" spans="1:7" s="226" customFormat="1" ht="13.5">
      <c r="A132" s="444" t="s">
        <v>350</v>
      </c>
      <c r="B132" s="444"/>
      <c r="C132" s="444"/>
      <c r="D132" s="444"/>
      <c r="E132" s="444"/>
      <c r="G132" s="310"/>
    </row>
    <row r="133" spans="1:7" s="226" customFormat="1" ht="12.75">
      <c r="A133" s="287" t="s">
        <v>131</v>
      </c>
      <c r="B133" s="287"/>
      <c r="C133" s="287"/>
      <c r="D133" s="287"/>
      <c r="E133" s="287"/>
      <c r="G133" s="310"/>
    </row>
    <row r="134" spans="1:7" s="226" customFormat="1" ht="12.75">
      <c r="A134" s="287" t="s">
        <v>132</v>
      </c>
      <c r="B134" s="287"/>
      <c r="C134" s="287"/>
      <c r="D134" s="287"/>
      <c r="E134" s="287"/>
      <c r="G134" s="310"/>
    </row>
    <row r="135" spans="1:7" s="226" customFormat="1" ht="12.75">
      <c r="A135" s="445" t="s">
        <v>133</v>
      </c>
      <c r="B135" s="445"/>
      <c r="C135" s="445"/>
      <c r="D135" s="445"/>
      <c r="E135" s="445"/>
      <c r="G135" s="310"/>
    </row>
    <row r="136" ht="15.75">
      <c r="A136" s="288"/>
    </row>
  </sheetData>
  <mergeCells count="14">
    <mergeCell ref="B3:E3"/>
    <mergeCell ref="B4:E4"/>
    <mergeCell ref="A6:E6"/>
    <mergeCell ref="D125:E125"/>
    <mergeCell ref="A132:E132"/>
    <mergeCell ref="A135:E135"/>
    <mergeCell ref="D120:E120"/>
    <mergeCell ref="B1:E1"/>
    <mergeCell ref="B2:E2"/>
    <mergeCell ref="A5:E5"/>
    <mergeCell ref="D119:E119"/>
    <mergeCell ref="A7:E7"/>
    <mergeCell ref="A106:E106"/>
    <mergeCell ref="D118:E118"/>
  </mergeCells>
  <printOptions/>
  <pageMargins left="0.93" right="0.16" top="0.51" bottom="0.69" header="0.17" footer="0.17"/>
  <pageSetup horizontalDpi="600" verticalDpi="600" orientation="portrait" scale="91" r:id="rId1"/>
  <headerFooter alignWithMargins="0">
    <oddFooter>&amp;C&amp;".VnTime,Regular"&amp;6&amp;A&amp;R&amp;".VnTime,Regular"&amp;6trang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40"/>
  <sheetViews>
    <sheetView workbookViewId="0" topLeftCell="A11">
      <selection activeCell="AD24" sqref="AD24"/>
    </sheetView>
  </sheetViews>
  <sheetFormatPr defaultColWidth="8.796875" defaultRowHeight="15"/>
  <cols>
    <col min="1" max="1" width="33.8984375" style="216" customWidth="1"/>
    <col min="2" max="2" width="4.59765625" style="296" customWidth="1"/>
    <col min="3" max="3" width="5.59765625" style="216" customWidth="1"/>
    <col min="4" max="4" width="15.8984375" style="216" bestFit="1" customWidth="1"/>
    <col min="5" max="5" width="14.59765625" style="216" bestFit="1" customWidth="1"/>
    <col min="6" max="6" width="15.09765625" style="216" bestFit="1" customWidth="1"/>
    <col min="7" max="7" width="15.3984375" style="216" bestFit="1" customWidth="1"/>
    <col min="8" max="8" width="18.8984375" style="216" hidden="1" customWidth="1"/>
    <col min="9" max="9" width="16.8984375" style="216" hidden="1" customWidth="1"/>
    <col min="10" max="10" width="0" style="216" hidden="1" customWidth="1"/>
    <col min="11" max="11" width="16.59765625" style="216" hidden="1" customWidth="1"/>
    <col min="12" max="12" width="14" style="216" hidden="1" customWidth="1"/>
    <col min="13" max="13" width="17.59765625" style="216" hidden="1" customWidth="1"/>
    <col min="14" max="14" width="13.296875" style="216" hidden="1" customWidth="1"/>
    <col min="15" max="15" width="16.59765625" style="216" hidden="1" customWidth="1"/>
    <col min="16" max="16" width="16.3984375" style="216" hidden="1" customWidth="1"/>
    <col min="17" max="17" width="16.8984375" style="216" hidden="1" customWidth="1"/>
    <col min="18" max="18" width="13.296875" style="216" hidden="1" customWidth="1"/>
    <col min="19" max="19" width="16.59765625" style="216" hidden="1" customWidth="1"/>
    <col min="20" max="20" width="0.59375" style="216" hidden="1" customWidth="1"/>
    <col min="21" max="21" width="20.3984375" style="216" customWidth="1"/>
    <col min="22" max="35" width="9.09765625" style="216" customWidth="1"/>
    <col min="36" max="36" width="15.69921875" style="216" bestFit="1" customWidth="1"/>
    <col min="37" max="16384" width="9.09765625" style="216" customWidth="1"/>
  </cols>
  <sheetData>
    <row r="1" spans="1:8" ht="17.25" customHeight="1">
      <c r="A1" s="230" t="s">
        <v>800</v>
      </c>
      <c r="B1" s="447" t="s">
        <v>509</v>
      </c>
      <c r="C1" s="447"/>
      <c r="D1" s="447"/>
      <c r="E1" s="447"/>
      <c r="F1" s="447"/>
      <c r="G1" s="447"/>
      <c r="H1" s="447"/>
    </row>
    <row r="2" spans="1:8" ht="15.75">
      <c r="A2" s="215" t="s">
        <v>5</v>
      </c>
      <c r="B2" s="448" t="s">
        <v>508</v>
      </c>
      <c r="C2" s="448"/>
      <c r="D2" s="448"/>
      <c r="E2" s="448"/>
      <c r="F2" s="448"/>
      <c r="G2" s="448"/>
      <c r="H2" s="448"/>
    </row>
    <row r="3" spans="1:8" ht="12" customHeight="1">
      <c r="A3" s="229" t="s">
        <v>799</v>
      </c>
      <c r="B3" s="454" t="s">
        <v>6</v>
      </c>
      <c r="C3" s="454"/>
      <c r="D3" s="454"/>
      <c r="E3" s="454"/>
      <c r="F3" s="454"/>
      <c r="G3" s="454"/>
      <c r="H3" s="454"/>
    </row>
    <row r="4" spans="1:8" ht="14.25" customHeight="1">
      <c r="A4" s="449"/>
      <c r="B4" s="449"/>
      <c r="C4" s="449"/>
      <c r="D4" s="449"/>
      <c r="E4" s="449"/>
      <c r="F4" s="449"/>
      <c r="G4" s="449"/>
      <c r="H4" s="449"/>
    </row>
    <row r="5" spans="1:8" ht="18.75">
      <c r="A5" s="449" t="s">
        <v>351</v>
      </c>
      <c r="B5" s="449"/>
      <c r="C5" s="449"/>
      <c r="D5" s="449"/>
      <c r="E5" s="449"/>
      <c r="F5" s="449"/>
      <c r="G5" s="449"/>
      <c r="H5" s="449"/>
    </row>
    <row r="6" spans="1:8" ht="15.75">
      <c r="A6" s="447" t="s">
        <v>352</v>
      </c>
      <c r="B6" s="447"/>
      <c r="C6" s="447"/>
      <c r="D6" s="447"/>
      <c r="E6" s="447"/>
      <c r="F6" s="447"/>
      <c r="G6" s="447"/>
      <c r="H6" s="447"/>
    </row>
    <row r="7" spans="1:20" ht="16.5">
      <c r="A7" s="218"/>
      <c r="B7" s="289"/>
      <c r="C7" s="218"/>
      <c r="D7" s="457" t="s">
        <v>798</v>
      </c>
      <c r="E7" s="457"/>
      <c r="F7" s="457"/>
      <c r="G7" s="457"/>
      <c r="H7" s="457"/>
      <c r="I7" s="463" t="s">
        <v>1394</v>
      </c>
      <c r="J7" s="463"/>
      <c r="K7" s="464" t="s">
        <v>1395</v>
      </c>
      <c r="L7" s="464"/>
      <c r="M7" s="464" t="s">
        <v>1396</v>
      </c>
      <c r="N7" s="464"/>
      <c r="O7" s="464" t="s">
        <v>1397</v>
      </c>
      <c r="P7" s="464"/>
      <c r="Q7" s="458" t="s">
        <v>1398</v>
      </c>
      <c r="R7" s="458"/>
      <c r="S7" s="458" t="s">
        <v>1399</v>
      </c>
      <c r="T7" s="458"/>
    </row>
    <row r="8" spans="1:20" s="219" customFormat="1" ht="24" customHeight="1">
      <c r="A8" s="459" t="s">
        <v>758</v>
      </c>
      <c r="B8" s="459" t="s">
        <v>773</v>
      </c>
      <c r="C8" s="459" t="s">
        <v>772</v>
      </c>
      <c r="D8" s="465" t="s">
        <v>1152</v>
      </c>
      <c r="E8" s="466"/>
      <c r="F8" s="465" t="s">
        <v>1149</v>
      </c>
      <c r="G8" s="466"/>
      <c r="H8" s="461" t="s">
        <v>759</v>
      </c>
      <c r="I8" s="369" t="s">
        <v>1069</v>
      </c>
      <c r="J8" s="368" t="s">
        <v>1069</v>
      </c>
      <c r="K8" s="369" t="s">
        <v>1069</v>
      </c>
      <c r="L8" s="368" t="s">
        <v>1069</v>
      </c>
      <c r="M8" s="369" t="s">
        <v>1069</v>
      </c>
      <c r="N8" s="368" t="s">
        <v>1069</v>
      </c>
      <c r="O8" s="369" t="s">
        <v>1069</v>
      </c>
      <c r="P8" s="368" t="s">
        <v>1069</v>
      </c>
      <c r="Q8" s="369" t="s">
        <v>1069</v>
      </c>
      <c r="R8" s="368" t="s">
        <v>1069</v>
      </c>
      <c r="S8" s="369" t="s">
        <v>1069</v>
      </c>
      <c r="T8" s="368" t="s">
        <v>1069</v>
      </c>
    </row>
    <row r="9" spans="1:20" s="219" customFormat="1" ht="18.75" customHeight="1">
      <c r="A9" s="460"/>
      <c r="B9" s="460"/>
      <c r="C9" s="460"/>
      <c r="D9" s="406" t="s">
        <v>1153</v>
      </c>
      <c r="E9" s="406" t="s">
        <v>645</v>
      </c>
      <c r="F9" s="406" t="s">
        <v>1150</v>
      </c>
      <c r="G9" s="406" t="s">
        <v>1151</v>
      </c>
      <c r="H9" s="462"/>
      <c r="I9" s="372" t="s">
        <v>425</v>
      </c>
      <c r="J9" s="370" t="s">
        <v>1070</v>
      </c>
      <c r="K9" s="372" t="s">
        <v>425</v>
      </c>
      <c r="L9" s="370" t="s">
        <v>1070</v>
      </c>
      <c r="M9" s="372" t="s">
        <v>425</v>
      </c>
      <c r="N9" s="370" t="s">
        <v>1070</v>
      </c>
      <c r="O9" s="372" t="s">
        <v>425</v>
      </c>
      <c r="P9" s="370" t="s">
        <v>1070</v>
      </c>
      <c r="Q9" s="372" t="s">
        <v>425</v>
      </c>
      <c r="R9" s="370" t="s">
        <v>1070</v>
      </c>
      <c r="S9" s="372" t="s">
        <v>425</v>
      </c>
      <c r="T9" s="370" t="s">
        <v>1070</v>
      </c>
    </row>
    <row r="10" spans="1:20" s="220" customFormat="1" ht="19.5" customHeight="1">
      <c r="A10" s="371">
        <v>1</v>
      </c>
      <c r="B10" s="371">
        <v>2</v>
      </c>
      <c r="C10" s="371">
        <v>3</v>
      </c>
      <c r="D10" s="371">
        <v>4</v>
      </c>
      <c r="E10" s="371">
        <v>5</v>
      </c>
      <c r="F10" s="371">
        <v>6</v>
      </c>
      <c r="G10" s="371">
        <v>7</v>
      </c>
      <c r="H10" s="371">
        <v>5</v>
      </c>
      <c r="I10" s="371">
        <v>4</v>
      </c>
      <c r="J10" s="371">
        <v>5</v>
      </c>
      <c r="K10" s="371">
        <v>4</v>
      </c>
      <c r="L10" s="371">
        <v>5</v>
      </c>
      <c r="M10" s="371">
        <v>4</v>
      </c>
      <c r="N10" s="371">
        <v>5</v>
      </c>
      <c r="O10" s="371">
        <v>4</v>
      </c>
      <c r="P10" s="371">
        <v>5</v>
      </c>
      <c r="Q10" s="371">
        <v>4</v>
      </c>
      <c r="R10" s="371">
        <v>5</v>
      </c>
      <c r="S10" s="371">
        <v>4</v>
      </c>
      <c r="T10" s="371">
        <v>5</v>
      </c>
    </row>
    <row r="11" spans="1:20" s="351" customFormat="1" ht="18" customHeight="1">
      <c r="A11" s="345" t="s">
        <v>760</v>
      </c>
      <c r="B11" s="346" t="s">
        <v>1212</v>
      </c>
      <c r="C11" s="347" t="s">
        <v>1172</v>
      </c>
      <c r="D11" s="348">
        <v>94313130689</v>
      </c>
      <c r="E11" s="349">
        <f>+G11-75439078810</f>
        <v>91795683427</v>
      </c>
      <c r="F11" s="349">
        <v>172203267648</v>
      </c>
      <c r="G11" s="349">
        <v>167234762237</v>
      </c>
      <c r="H11" s="350">
        <v>332769690904</v>
      </c>
      <c r="I11" s="350">
        <v>18409389752</v>
      </c>
      <c r="J11" s="350"/>
      <c r="K11" s="350">
        <v>17436918610</v>
      </c>
      <c r="L11" s="350"/>
      <c r="M11" s="350">
        <v>36078075656</v>
      </c>
      <c r="N11" s="350"/>
      <c r="O11" s="350">
        <v>20122720854</v>
      </c>
      <c r="P11" s="350"/>
      <c r="Q11" s="350">
        <v>52979558536</v>
      </c>
      <c r="R11" s="350"/>
      <c r="S11" s="350">
        <f>22128195224+5048409016</f>
        <v>27176604240</v>
      </c>
      <c r="T11" s="350"/>
    </row>
    <row r="12" spans="1:20" s="351" customFormat="1" ht="18" customHeight="1">
      <c r="A12" s="352" t="s">
        <v>761</v>
      </c>
      <c r="B12" s="353" t="s">
        <v>1213</v>
      </c>
      <c r="C12" s="347"/>
      <c r="D12" s="348">
        <v>28267224</v>
      </c>
      <c r="E12" s="348"/>
      <c r="F12" s="348">
        <v>29807674</v>
      </c>
      <c r="G12" s="348">
        <v>30591930</v>
      </c>
      <c r="H12" s="348">
        <v>409585712</v>
      </c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>
        <f>26010526+3797148</f>
        <v>29807674</v>
      </c>
      <c r="T12" s="348"/>
    </row>
    <row r="13" spans="1:20" s="351" customFormat="1" ht="25.5">
      <c r="A13" s="354" t="s">
        <v>762</v>
      </c>
      <c r="B13" s="347">
        <v>10</v>
      </c>
      <c r="C13" s="347"/>
      <c r="D13" s="348">
        <f>+D11-D12</f>
        <v>94284863465</v>
      </c>
      <c r="E13" s="348">
        <f>+E11-E12</f>
        <v>91795683427</v>
      </c>
      <c r="F13" s="348">
        <f>+F11-F12</f>
        <v>172173459974</v>
      </c>
      <c r="G13" s="348">
        <f>+G11-G12</f>
        <v>167204170307</v>
      </c>
      <c r="H13" s="348">
        <f>+H11-H12</f>
        <v>332360105192</v>
      </c>
      <c r="I13" s="348">
        <f aca="true" t="shared" si="0" ref="I13:T13">I11-I12</f>
        <v>18409389752</v>
      </c>
      <c r="J13" s="348">
        <f t="shared" si="0"/>
        <v>0</v>
      </c>
      <c r="K13" s="348">
        <f t="shared" si="0"/>
        <v>17436918610</v>
      </c>
      <c r="L13" s="348">
        <f t="shared" si="0"/>
        <v>0</v>
      </c>
      <c r="M13" s="348">
        <f t="shared" si="0"/>
        <v>36078075656</v>
      </c>
      <c r="N13" s="348">
        <f t="shared" si="0"/>
        <v>0</v>
      </c>
      <c r="O13" s="348">
        <f t="shared" si="0"/>
        <v>20122720854</v>
      </c>
      <c r="P13" s="348">
        <f t="shared" si="0"/>
        <v>0</v>
      </c>
      <c r="Q13" s="348">
        <f t="shared" si="0"/>
        <v>52979558536</v>
      </c>
      <c r="R13" s="348">
        <f t="shared" si="0"/>
        <v>0</v>
      </c>
      <c r="S13" s="348">
        <f t="shared" si="0"/>
        <v>27146796566</v>
      </c>
      <c r="T13" s="348">
        <f t="shared" si="0"/>
        <v>0</v>
      </c>
    </row>
    <row r="14" spans="1:20" s="351" customFormat="1" ht="18" customHeight="1">
      <c r="A14" s="355" t="s">
        <v>763</v>
      </c>
      <c r="B14" s="347">
        <v>11</v>
      </c>
      <c r="C14" s="347" t="s">
        <v>1173</v>
      </c>
      <c r="D14" s="348">
        <v>78663856490</v>
      </c>
      <c r="E14" s="348">
        <f>G14-66514453654</f>
        <v>78502697153</v>
      </c>
      <c r="F14" s="348">
        <v>145632844729</v>
      </c>
      <c r="G14" s="348">
        <v>145017150807</v>
      </c>
      <c r="H14" s="348">
        <v>283839465418</v>
      </c>
      <c r="I14" s="356">
        <v>16449507277</v>
      </c>
      <c r="J14" s="348"/>
      <c r="K14" s="356">
        <v>14372659987</v>
      </c>
      <c r="L14" s="348"/>
      <c r="M14" s="356">
        <v>27860407243</v>
      </c>
      <c r="N14" s="348"/>
      <c r="O14" s="356">
        <v>17689642648</v>
      </c>
      <c r="P14" s="348"/>
      <c r="Q14" s="356">
        <v>44333350208</v>
      </c>
      <c r="R14" s="348"/>
      <c r="S14" s="356">
        <f>20337272294+4590005072</f>
        <v>24927277366</v>
      </c>
      <c r="T14" s="348"/>
    </row>
    <row r="15" spans="1:20" s="351" customFormat="1" ht="25.5">
      <c r="A15" s="354" t="s">
        <v>764</v>
      </c>
      <c r="B15" s="347">
        <v>20</v>
      </c>
      <c r="C15" s="347"/>
      <c r="D15" s="357">
        <f>D13-D14</f>
        <v>15621006975</v>
      </c>
      <c r="E15" s="357">
        <f>E13-E14</f>
        <v>13292986274</v>
      </c>
      <c r="F15" s="357">
        <f>F13-F14</f>
        <v>26540615245</v>
      </c>
      <c r="G15" s="357">
        <f>G13-G14</f>
        <v>22187019500</v>
      </c>
      <c r="H15" s="357">
        <f aca="true" t="shared" si="1" ref="H15:T15">H13-H14</f>
        <v>48520639774</v>
      </c>
      <c r="I15" s="357">
        <f t="shared" si="1"/>
        <v>1959882475</v>
      </c>
      <c r="J15" s="357">
        <f t="shared" si="1"/>
        <v>0</v>
      </c>
      <c r="K15" s="357">
        <f t="shared" si="1"/>
        <v>3064258623</v>
      </c>
      <c r="L15" s="357">
        <f t="shared" si="1"/>
        <v>0</v>
      </c>
      <c r="M15" s="357">
        <f t="shared" si="1"/>
        <v>8217668413</v>
      </c>
      <c r="N15" s="357">
        <f t="shared" si="1"/>
        <v>0</v>
      </c>
      <c r="O15" s="357">
        <f t="shared" si="1"/>
        <v>2433078206</v>
      </c>
      <c r="P15" s="357">
        <f t="shared" si="1"/>
        <v>0</v>
      </c>
      <c r="Q15" s="357">
        <f t="shared" si="1"/>
        <v>8646208328</v>
      </c>
      <c r="R15" s="357">
        <f t="shared" si="1"/>
        <v>0</v>
      </c>
      <c r="S15" s="357">
        <f t="shared" si="1"/>
        <v>2219519200</v>
      </c>
      <c r="T15" s="357">
        <f t="shared" si="1"/>
        <v>0</v>
      </c>
    </row>
    <row r="16" spans="1:20" s="351" customFormat="1" ht="18" customHeight="1">
      <c r="A16" s="352" t="s">
        <v>765</v>
      </c>
      <c r="B16" s="347">
        <v>21</v>
      </c>
      <c r="C16" s="347" t="s">
        <v>1174</v>
      </c>
      <c r="D16" s="348">
        <v>11382476483</v>
      </c>
      <c r="E16" s="348">
        <v>3257600457</v>
      </c>
      <c r="F16" s="348">
        <v>13510203730</v>
      </c>
      <c r="G16" s="348">
        <v>5882882239</v>
      </c>
      <c r="H16" s="348">
        <v>6174687324</v>
      </c>
      <c r="I16" s="348">
        <v>13369466727</v>
      </c>
      <c r="J16" s="348"/>
      <c r="K16" s="348">
        <v>12301361</v>
      </c>
      <c r="L16" s="348"/>
      <c r="M16" s="348">
        <v>61989982</v>
      </c>
      <c r="N16" s="348"/>
      <c r="O16" s="348">
        <v>24181478</v>
      </c>
      <c r="P16" s="348"/>
      <c r="Q16" s="348">
        <v>9225393</v>
      </c>
      <c r="R16" s="348"/>
      <c r="S16" s="348">
        <f>30421224+2617565</f>
        <v>33038789</v>
      </c>
      <c r="T16" s="348"/>
    </row>
    <row r="17" spans="1:36" s="351" customFormat="1" ht="18" customHeight="1">
      <c r="A17" s="352" t="s">
        <v>766</v>
      </c>
      <c r="B17" s="347">
        <v>22</v>
      </c>
      <c r="C17" s="347" t="s">
        <v>1175</v>
      </c>
      <c r="D17" s="348">
        <v>4857154958</v>
      </c>
      <c r="E17" s="348">
        <v>1578890783</v>
      </c>
      <c r="F17" s="348">
        <v>9099386900</v>
      </c>
      <c r="G17" s="348">
        <v>3141640522</v>
      </c>
      <c r="H17" s="348">
        <v>10517521784</v>
      </c>
      <c r="I17" s="348">
        <f>+I18</f>
        <v>3881182092</v>
      </c>
      <c r="J17" s="348"/>
      <c r="K17" s="348">
        <f>+K18</f>
        <v>124439411</v>
      </c>
      <c r="L17" s="348"/>
      <c r="M17" s="348">
        <v>1238485538</v>
      </c>
      <c r="N17" s="348"/>
      <c r="O17" s="348">
        <v>40817</v>
      </c>
      <c r="P17" s="348"/>
      <c r="Q17" s="348">
        <v>2895359111</v>
      </c>
      <c r="R17" s="348"/>
      <c r="S17" s="348">
        <f>798956422+160923509</f>
        <v>959879931</v>
      </c>
      <c r="T17" s="348"/>
      <c r="AJ17" s="358"/>
    </row>
    <row r="18" spans="1:20" s="351" customFormat="1" ht="18" customHeight="1">
      <c r="A18" s="359" t="s">
        <v>769</v>
      </c>
      <c r="B18" s="360">
        <v>23</v>
      </c>
      <c r="C18" s="347"/>
      <c r="D18" s="264">
        <v>4683232183</v>
      </c>
      <c r="E18" s="264">
        <v>1358965879</v>
      </c>
      <c r="F18" s="264">
        <v>8925464125</v>
      </c>
      <c r="G18" s="264"/>
      <c r="H18" s="264">
        <v>10517521784</v>
      </c>
      <c r="I18" s="264">
        <v>3881182092</v>
      </c>
      <c r="J18" s="264"/>
      <c r="K18" s="264">
        <v>124439411</v>
      </c>
      <c r="L18" s="264"/>
      <c r="M18" s="264">
        <v>1238485538</v>
      </c>
      <c r="N18" s="264"/>
      <c r="O18" s="264"/>
      <c r="P18" s="264"/>
      <c r="Q18" s="264">
        <v>2895359111</v>
      </c>
      <c r="R18" s="264"/>
      <c r="S18" s="264">
        <f>625074464+160923509</f>
        <v>785997973</v>
      </c>
      <c r="T18" s="264"/>
    </row>
    <row r="19" spans="1:20" s="351" customFormat="1" ht="18" customHeight="1">
      <c r="A19" s="352" t="s">
        <v>767</v>
      </c>
      <c r="B19" s="347">
        <v>24</v>
      </c>
      <c r="C19" s="347"/>
      <c r="D19" s="348">
        <v>10466642574</v>
      </c>
      <c r="E19" s="348">
        <v>5679697459</v>
      </c>
      <c r="F19" s="348">
        <v>14387327110</v>
      </c>
      <c r="G19" s="348">
        <v>9052637195</v>
      </c>
      <c r="H19" s="348">
        <v>18520664778</v>
      </c>
      <c r="I19" s="348">
        <v>6162186183</v>
      </c>
      <c r="J19" s="348"/>
      <c r="K19" s="348">
        <v>2053736920</v>
      </c>
      <c r="L19" s="348"/>
      <c r="M19" s="348">
        <v>5132697251</v>
      </c>
      <c r="N19" s="348"/>
      <c r="O19" s="348"/>
      <c r="P19" s="348"/>
      <c r="Q19" s="348">
        <v>417993400</v>
      </c>
      <c r="R19" s="348"/>
      <c r="S19" s="348">
        <f>544388402+76324954</f>
        <v>620713356</v>
      </c>
      <c r="T19" s="348"/>
    </row>
    <row r="20" spans="1:20" s="351" customFormat="1" ht="18" customHeight="1">
      <c r="A20" s="355" t="s">
        <v>768</v>
      </c>
      <c r="B20" s="347">
        <v>25</v>
      </c>
      <c r="C20" s="347"/>
      <c r="D20" s="348">
        <v>4865394529</v>
      </c>
      <c r="E20" s="348">
        <v>5819485008</v>
      </c>
      <c r="F20" s="348">
        <v>9524581156</v>
      </c>
      <c r="G20" s="348">
        <v>5404034642</v>
      </c>
      <c r="H20" s="348">
        <v>15601068029</v>
      </c>
      <c r="I20" s="356">
        <v>2912928560</v>
      </c>
      <c r="J20" s="348"/>
      <c r="K20" s="356">
        <v>881409587</v>
      </c>
      <c r="L20" s="348"/>
      <c r="M20" s="356"/>
      <c r="N20" s="348"/>
      <c r="O20" s="356">
        <f>730758886+775154740</f>
        <v>1505913626</v>
      </c>
      <c r="P20" s="348"/>
      <c r="Q20" s="356">
        <v>3446709585</v>
      </c>
      <c r="R20" s="348"/>
      <c r="S20" s="356">
        <f>648591667+129028131</f>
        <v>777619798</v>
      </c>
      <c r="T20" s="348"/>
    </row>
    <row r="21" spans="1:20" s="351" customFormat="1" ht="27.75" customHeight="1">
      <c r="A21" s="361" t="s">
        <v>1156</v>
      </c>
      <c r="B21" s="347">
        <v>30</v>
      </c>
      <c r="C21" s="347"/>
      <c r="D21" s="348">
        <f>+D15+D16-D17-D19-D20</f>
        <v>6814291397</v>
      </c>
      <c r="E21" s="348">
        <f>+E15+E16-E17-E19-E20</f>
        <v>3472513481</v>
      </c>
      <c r="F21" s="348">
        <f>+F15+F16-F17-F19-F20</f>
        <v>7039523809</v>
      </c>
      <c r="G21" s="348">
        <f>+G15+G16-G17-G19-G20</f>
        <v>10471589380</v>
      </c>
      <c r="H21" s="348">
        <f aca="true" t="shared" si="2" ref="H21:T21">+H15+H16-H17-H19-H20</f>
        <v>10056072507</v>
      </c>
      <c r="I21" s="348">
        <f t="shared" si="2"/>
        <v>2373052367</v>
      </c>
      <c r="J21" s="348">
        <f t="shared" si="2"/>
        <v>0</v>
      </c>
      <c r="K21" s="348">
        <f t="shared" si="2"/>
        <v>16974066</v>
      </c>
      <c r="L21" s="348">
        <f t="shared" si="2"/>
        <v>0</v>
      </c>
      <c r="M21" s="348">
        <f t="shared" si="2"/>
        <v>1908475606</v>
      </c>
      <c r="N21" s="348">
        <f t="shared" si="2"/>
        <v>0</v>
      </c>
      <c r="O21" s="348">
        <f t="shared" si="2"/>
        <v>951305241</v>
      </c>
      <c r="P21" s="348">
        <f t="shared" si="2"/>
        <v>0</v>
      </c>
      <c r="Q21" s="348">
        <f t="shared" si="2"/>
        <v>1895371625</v>
      </c>
      <c r="R21" s="348">
        <f t="shared" si="2"/>
        <v>0</v>
      </c>
      <c r="S21" s="348">
        <f t="shared" si="2"/>
        <v>-105655096</v>
      </c>
      <c r="T21" s="348">
        <f t="shared" si="2"/>
        <v>0</v>
      </c>
    </row>
    <row r="22" spans="1:20" s="351" customFormat="1" ht="18" customHeight="1">
      <c r="A22" s="352" t="s">
        <v>1157</v>
      </c>
      <c r="B22" s="347">
        <v>31</v>
      </c>
      <c r="C22" s="347"/>
      <c r="D22" s="348">
        <v>2563768776</v>
      </c>
      <c r="E22" s="348">
        <v>900456000</v>
      </c>
      <c r="F22" s="348">
        <v>6415127357</v>
      </c>
      <c r="G22" s="348">
        <v>1796904023</v>
      </c>
      <c r="H22" s="348">
        <v>4503272977</v>
      </c>
      <c r="I22" s="348">
        <v>5811571324</v>
      </c>
      <c r="J22" s="348">
        <v>0</v>
      </c>
      <c r="K22" s="348">
        <v>9280400</v>
      </c>
      <c r="L22" s="348">
        <v>0</v>
      </c>
      <c r="M22" s="348">
        <v>4507468</v>
      </c>
      <c r="N22" s="348">
        <v>0</v>
      </c>
      <c r="O22" s="348"/>
      <c r="P22" s="348">
        <v>0</v>
      </c>
      <c r="Q22" s="348">
        <v>3680400539</v>
      </c>
      <c r="R22" s="348">
        <v>0</v>
      </c>
      <c r="S22" s="348">
        <f>355576680+14240946</f>
        <v>369817626</v>
      </c>
      <c r="T22" s="348">
        <v>0</v>
      </c>
    </row>
    <row r="23" spans="1:20" s="351" customFormat="1" ht="18" customHeight="1">
      <c r="A23" s="352" t="s">
        <v>1158</v>
      </c>
      <c r="B23" s="347">
        <v>32</v>
      </c>
      <c r="C23" s="347"/>
      <c r="D23" s="348">
        <v>4838070345</v>
      </c>
      <c r="E23" s="348">
        <v>826793504</v>
      </c>
      <c r="F23" s="348">
        <v>4902521073</v>
      </c>
      <c r="G23" s="348">
        <v>1693161544</v>
      </c>
      <c r="H23" s="348">
        <v>2715071728</v>
      </c>
      <c r="I23" s="348">
        <v>5551275000</v>
      </c>
      <c r="J23" s="348">
        <v>0</v>
      </c>
      <c r="K23" s="348">
        <v>2318182</v>
      </c>
      <c r="L23" s="348">
        <v>0</v>
      </c>
      <c r="M23" s="348"/>
      <c r="N23" s="348">
        <v>0</v>
      </c>
      <c r="O23" s="348"/>
      <c r="P23" s="348">
        <v>0</v>
      </c>
      <c r="Q23" s="348">
        <v>2808978237</v>
      </c>
      <c r="R23" s="348">
        <v>0</v>
      </c>
      <c r="S23" s="348">
        <v>399654</v>
      </c>
      <c r="T23" s="348">
        <v>0</v>
      </c>
    </row>
    <row r="24" spans="1:20" s="351" customFormat="1" ht="18" customHeight="1">
      <c r="A24" s="352" t="s">
        <v>1159</v>
      </c>
      <c r="B24" s="347">
        <v>40</v>
      </c>
      <c r="C24" s="347"/>
      <c r="D24" s="348">
        <f aca="true" t="shared" si="3" ref="D24:I24">D22-D23</f>
        <v>-2274301569</v>
      </c>
      <c r="E24" s="348">
        <f t="shared" si="3"/>
        <v>73662496</v>
      </c>
      <c r="F24" s="348">
        <f t="shared" si="3"/>
        <v>1512606284</v>
      </c>
      <c r="G24" s="348">
        <f t="shared" si="3"/>
        <v>103742479</v>
      </c>
      <c r="H24" s="348">
        <f t="shared" si="3"/>
        <v>1788201249</v>
      </c>
      <c r="I24" s="348">
        <f t="shared" si="3"/>
        <v>260296324</v>
      </c>
      <c r="J24" s="348">
        <v>0</v>
      </c>
      <c r="K24" s="348">
        <f>K22-K23</f>
        <v>6962218</v>
      </c>
      <c r="L24" s="348">
        <v>0</v>
      </c>
      <c r="M24" s="348">
        <f>M22-M23</f>
        <v>4507468</v>
      </c>
      <c r="N24" s="348">
        <v>0</v>
      </c>
      <c r="O24" s="348">
        <f>O22-O23</f>
        <v>0</v>
      </c>
      <c r="P24" s="348">
        <v>0</v>
      </c>
      <c r="Q24" s="348">
        <f>Q22-Q23</f>
        <v>871422302</v>
      </c>
      <c r="R24" s="348">
        <v>0</v>
      </c>
      <c r="S24" s="348">
        <f>S22-S23</f>
        <v>369417972</v>
      </c>
      <c r="T24" s="348">
        <v>0</v>
      </c>
    </row>
    <row r="25" spans="1:20" s="351" customFormat="1" ht="12.75">
      <c r="A25" s="354" t="s">
        <v>777</v>
      </c>
      <c r="B25" s="347">
        <v>50</v>
      </c>
      <c r="C25" s="347"/>
      <c r="D25" s="348">
        <f>D21+D24</f>
        <v>4539989828</v>
      </c>
      <c r="E25" s="348">
        <f>E21+E24</f>
        <v>3546175977</v>
      </c>
      <c r="F25" s="348">
        <f>F21+F24</f>
        <v>8552130093</v>
      </c>
      <c r="G25" s="348">
        <f>G21+G24</f>
        <v>10575331859</v>
      </c>
      <c r="H25" s="348">
        <f aca="true" t="shared" si="4" ref="H25:T25">H21+H24</f>
        <v>11844273756</v>
      </c>
      <c r="I25" s="348">
        <f t="shared" si="4"/>
        <v>2633348691</v>
      </c>
      <c r="J25" s="348">
        <f t="shared" si="4"/>
        <v>0</v>
      </c>
      <c r="K25" s="348">
        <f t="shared" si="4"/>
        <v>23936284</v>
      </c>
      <c r="L25" s="348">
        <f t="shared" si="4"/>
        <v>0</v>
      </c>
      <c r="M25" s="348">
        <f t="shared" si="4"/>
        <v>1912983074</v>
      </c>
      <c r="N25" s="348">
        <f t="shared" si="4"/>
        <v>0</v>
      </c>
      <c r="O25" s="348">
        <f t="shared" si="4"/>
        <v>951305241</v>
      </c>
      <c r="P25" s="348">
        <f t="shared" si="4"/>
        <v>0</v>
      </c>
      <c r="Q25" s="348">
        <f t="shared" si="4"/>
        <v>2766793927</v>
      </c>
      <c r="R25" s="348">
        <f t="shared" si="4"/>
        <v>0</v>
      </c>
      <c r="S25" s="348">
        <f t="shared" si="4"/>
        <v>263762876</v>
      </c>
      <c r="T25" s="348">
        <f t="shared" si="4"/>
        <v>0</v>
      </c>
    </row>
    <row r="26" spans="1:20" s="351" customFormat="1" ht="18" customHeight="1">
      <c r="A26" s="362" t="s">
        <v>778</v>
      </c>
      <c r="B26" s="347">
        <v>51</v>
      </c>
      <c r="C26" s="347" t="s">
        <v>1176</v>
      </c>
      <c r="D26" s="348">
        <f>+(F25-2470870777)*0.28</f>
        <v>1702752608.4800003</v>
      </c>
      <c r="E26" s="348"/>
      <c r="F26" s="348">
        <f>+(F25-2470870777)*0.28</f>
        <v>1702752608.4800003</v>
      </c>
      <c r="G26" s="348"/>
      <c r="H26" s="348">
        <v>3667839466</v>
      </c>
      <c r="I26" s="348">
        <v>1702752608</v>
      </c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</row>
    <row r="27" spans="1:20" s="351" customFormat="1" ht="18" customHeight="1">
      <c r="A27" s="362" t="s">
        <v>779</v>
      </c>
      <c r="B27" s="347">
        <v>52</v>
      </c>
      <c r="C27" s="347" t="s">
        <v>1176</v>
      </c>
      <c r="D27" s="348"/>
      <c r="E27" s="348">
        <f>+G27+I27+K27+M27+O27+Q27</f>
        <v>0</v>
      </c>
      <c r="F27" s="348">
        <f>+H27+J27+L27+N27+P27+R27</f>
        <v>0</v>
      </c>
      <c r="G27" s="348">
        <f>+I27+K27+M27+O27+Q27+S27</f>
        <v>0</v>
      </c>
      <c r="H27" s="348">
        <f>+J27+L27+N27+P27+R27+T27</f>
        <v>0</v>
      </c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</row>
    <row r="28" spans="1:21" s="351" customFormat="1" ht="25.5">
      <c r="A28" s="354" t="s">
        <v>780</v>
      </c>
      <c r="B28" s="347">
        <v>60</v>
      </c>
      <c r="C28" s="347"/>
      <c r="D28" s="348">
        <f>+D25-D26-D27</f>
        <v>2837237219.5199995</v>
      </c>
      <c r="E28" s="348">
        <f>E25-E26-E27</f>
        <v>3546175977</v>
      </c>
      <c r="F28" s="348">
        <f>F25-F26-F27</f>
        <v>6849377484.5199995</v>
      </c>
      <c r="G28" s="348">
        <f>G25-G26-G27</f>
        <v>10575331859</v>
      </c>
      <c r="H28" s="348">
        <f aca="true" t="shared" si="5" ref="H28:T28">H25-H26-H27</f>
        <v>8176434290</v>
      </c>
      <c r="I28" s="348">
        <f t="shared" si="5"/>
        <v>930596083</v>
      </c>
      <c r="J28" s="348">
        <f t="shared" si="5"/>
        <v>0</v>
      </c>
      <c r="K28" s="348">
        <f t="shared" si="5"/>
        <v>23936284</v>
      </c>
      <c r="L28" s="348">
        <f t="shared" si="5"/>
        <v>0</v>
      </c>
      <c r="M28" s="348">
        <f t="shared" si="5"/>
        <v>1912983074</v>
      </c>
      <c r="N28" s="348">
        <f t="shared" si="5"/>
        <v>0</v>
      </c>
      <c r="O28" s="348">
        <f t="shared" si="5"/>
        <v>951305241</v>
      </c>
      <c r="P28" s="348">
        <f t="shared" si="5"/>
        <v>0</v>
      </c>
      <c r="Q28" s="348">
        <f t="shared" si="5"/>
        <v>2766793927</v>
      </c>
      <c r="R28" s="348">
        <f t="shared" si="5"/>
        <v>0</v>
      </c>
      <c r="S28" s="348">
        <f t="shared" si="5"/>
        <v>263762876</v>
      </c>
      <c r="T28" s="348">
        <f t="shared" si="5"/>
        <v>0</v>
      </c>
      <c r="U28" s="358"/>
    </row>
    <row r="29" spans="1:20" s="226" customFormat="1" ht="18" customHeight="1">
      <c r="A29" s="363" t="s">
        <v>796</v>
      </c>
      <c r="B29" s="364">
        <v>70</v>
      </c>
      <c r="C29" s="365"/>
      <c r="D29" s="366">
        <f>+D28/'BANG CDKT'!D88*10000</f>
        <v>508.8642442401544</v>
      </c>
      <c r="E29" s="366">
        <f>E28/5122261</f>
        <v>692.3067717556759</v>
      </c>
      <c r="F29" s="366">
        <f>+F28/'BANG CDKT'!D88*10000</f>
        <v>1228.4497303209127</v>
      </c>
      <c r="G29" s="366">
        <f>G28/5122261</f>
        <v>2064.582780729057</v>
      </c>
      <c r="H29" s="366">
        <f>+J29+L29+N29+P29+R29+T29</f>
        <v>0</v>
      </c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</row>
    <row r="30" spans="1:20" s="226" customFormat="1" ht="18" customHeight="1">
      <c r="A30" s="226" t="s">
        <v>500</v>
      </c>
      <c r="B30" s="331"/>
      <c r="D30" s="367"/>
      <c r="E30" s="367"/>
      <c r="F30" s="367"/>
      <c r="G30" s="367"/>
      <c r="T30" s="367"/>
    </row>
    <row r="31" spans="1:7" s="220" customFormat="1" ht="15">
      <c r="A31" s="468" t="s">
        <v>499</v>
      </c>
      <c r="B31" s="468"/>
      <c r="C31" s="468"/>
      <c r="D31" s="468"/>
      <c r="E31" s="468"/>
      <c r="F31" s="468"/>
      <c r="G31" s="468"/>
    </row>
    <row r="32" spans="4:8" s="226" customFormat="1" ht="15">
      <c r="D32" s="469" t="s">
        <v>756</v>
      </c>
      <c r="E32" s="469"/>
      <c r="F32" s="469"/>
      <c r="G32" s="469"/>
      <c r="H32" s="469"/>
    </row>
    <row r="33" spans="1:8" s="220" customFormat="1" ht="15">
      <c r="A33" s="467" t="s">
        <v>282</v>
      </c>
      <c r="B33" s="467"/>
      <c r="C33" s="467"/>
      <c r="D33" s="470" t="s">
        <v>649</v>
      </c>
      <c r="E33" s="470"/>
      <c r="F33" s="470"/>
      <c r="G33" s="470"/>
      <c r="H33" s="470"/>
    </row>
    <row r="34" spans="1:8" s="220" customFormat="1" ht="15">
      <c r="A34" s="446" t="s">
        <v>283</v>
      </c>
      <c r="B34" s="446"/>
      <c r="C34" s="446"/>
      <c r="D34" s="446" t="s">
        <v>797</v>
      </c>
      <c r="E34" s="446"/>
      <c r="F34" s="446"/>
      <c r="G34" s="446"/>
      <c r="H34" s="446"/>
    </row>
    <row r="35" ht="15.75">
      <c r="G35" s="546"/>
    </row>
    <row r="36" ht="15.75">
      <c r="D36" s="546"/>
    </row>
    <row r="39" spans="1:7" ht="16.5">
      <c r="A39" s="223" t="s">
        <v>284</v>
      </c>
      <c r="B39" s="216"/>
      <c r="D39" s="456" t="s">
        <v>281</v>
      </c>
      <c r="E39" s="456"/>
      <c r="F39" s="456"/>
      <c r="G39" s="456"/>
    </row>
    <row r="40" spans="1:8" ht="15.75">
      <c r="A40" s="288" t="s">
        <v>353</v>
      </c>
      <c r="B40" s="288"/>
      <c r="C40" s="288"/>
      <c r="D40" s="288"/>
      <c r="E40" s="288"/>
      <c r="F40" s="288"/>
      <c r="G40" s="288"/>
      <c r="H40" s="288"/>
    </row>
  </sheetData>
  <mergeCells count="26">
    <mergeCell ref="D39:G39"/>
    <mergeCell ref="C8:C9"/>
    <mergeCell ref="A33:C33"/>
    <mergeCell ref="A34:C34"/>
    <mergeCell ref="A31:G31"/>
    <mergeCell ref="D32:H32"/>
    <mergeCell ref="D33:H33"/>
    <mergeCell ref="D34:H34"/>
    <mergeCell ref="B8:B9"/>
    <mergeCell ref="S7:T7"/>
    <mergeCell ref="A8:A9"/>
    <mergeCell ref="H8:H9"/>
    <mergeCell ref="I7:J7"/>
    <mergeCell ref="K7:L7"/>
    <mergeCell ref="M7:N7"/>
    <mergeCell ref="O7:P7"/>
    <mergeCell ref="F8:G8"/>
    <mergeCell ref="D8:E8"/>
    <mergeCell ref="A5:H5"/>
    <mergeCell ref="A6:H6"/>
    <mergeCell ref="D7:H7"/>
    <mergeCell ref="Q7:R7"/>
    <mergeCell ref="B1:H1"/>
    <mergeCell ref="B2:H2"/>
    <mergeCell ref="B3:H3"/>
    <mergeCell ref="A4:H4"/>
  </mergeCells>
  <printOptions/>
  <pageMargins left="0.64" right="0.21" top="0.53" bottom="0.44" header="0.35" footer="0.24"/>
  <pageSetup horizontalDpi="600" verticalDpi="600" orientation="portrait" r:id="rId1"/>
  <headerFooter alignWithMargins="0">
    <oddFooter>&amp;C&amp;6BCKQHĐKD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B16">
      <selection activeCell="C1" sqref="C1:D1"/>
    </sheetView>
  </sheetViews>
  <sheetFormatPr defaultColWidth="9.09765625" defaultRowHeight="15"/>
  <cols>
    <col min="1" max="1" width="4.8984375" style="220" customWidth="1"/>
    <col min="2" max="2" width="37" style="220" bestFit="1" customWidth="1"/>
    <col min="3" max="3" width="13.09765625" style="220" bestFit="1" customWidth="1"/>
    <col min="4" max="4" width="13.796875" style="220" bestFit="1" customWidth="1"/>
    <col min="5" max="16384" width="9.09765625" style="220" customWidth="1"/>
  </cols>
  <sheetData>
    <row r="1" spans="1:4" ht="15.75">
      <c r="A1" s="230" t="s">
        <v>800</v>
      </c>
      <c r="B1" s="230"/>
      <c r="C1" s="471" t="s">
        <v>502</v>
      </c>
      <c r="D1" s="471"/>
    </row>
    <row r="2" spans="1:4" ht="15.75">
      <c r="A2" s="215" t="s">
        <v>5</v>
      </c>
      <c r="B2" s="215"/>
      <c r="C2" s="448"/>
      <c r="D2" s="448"/>
    </row>
    <row r="3" spans="1:4" ht="15">
      <c r="A3" s="229" t="s">
        <v>799</v>
      </c>
      <c r="B3" s="229"/>
      <c r="C3" s="448"/>
      <c r="D3" s="448"/>
    </row>
    <row r="6" spans="1:4" ht="20.25">
      <c r="A6" s="437" t="s">
        <v>441</v>
      </c>
      <c r="B6" s="437"/>
      <c r="C6" s="437"/>
      <c r="D6" s="437"/>
    </row>
    <row r="7" spans="1:7" ht="15">
      <c r="A7" s="467" t="s">
        <v>442</v>
      </c>
      <c r="B7" s="467"/>
      <c r="C7" s="467"/>
      <c r="D7" s="467"/>
      <c r="E7" s="446"/>
      <c r="F7" s="446"/>
      <c r="G7" s="446"/>
    </row>
    <row r="8" spans="1:7" ht="15">
      <c r="A8" s="214"/>
      <c r="B8" s="214"/>
      <c r="C8" s="214"/>
      <c r="D8" s="214"/>
      <c r="E8" s="277"/>
      <c r="F8" s="277"/>
      <c r="G8" s="277"/>
    </row>
    <row r="9" spans="1:7" ht="15.75" customHeight="1">
      <c r="A9" s="447" t="s">
        <v>493</v>
      </c>
      <c r="B9" s="447"/>
      <c r="C9" s="447"/>
      <c r="D9" s="447"/>
      <c r="E9" s="467"/>
      <c r="F9" s="467"/>
      <c r="G9" s="467"/>
    </row>
    <row r="10" ht="15.75" customHeight="1">
      <c r="D10" s="403" t="s">
        <v>494</v>
      </c>
    </row>
    <row r="11" spans="1:4" ht="21" customHeight="1">
      <c r="A11" s="397" t="s">
        <v>443</v>
      </c>
      <c r="B11" s="397" t="s">
        <v>444</v>
      </c>
      <c r="C11" s="397" t="s">
        <v>495</v>
      </c>
      <c r="D11" s="397" t="s">
        <v>446</v>
      </c>
    </row>
    <row r="12" spans="1:4" s="219" customFormat="1" ht="16.5" customHeight="1">
      <c r="A12" s="388" t="s">
        <v>1118</v>
      </c>
      <c r="B12" s="377" t="s">
        <v>487</v>
      </c>
      <c r="C12" s="393">
        <f>+SUM(C13:C17)</f>
        <v>83857213895</v>
      </c>
      <c r="D12" s="393">
        <f>+SUM(D13:D17)</f>
        <v>111797586983</v>
      </c>
    </row>
    <row r="13" spans="1:4" ht="16.5" customHeight="1">
      <c r="A13" s="398" t="s">
        <v>447</v>
      </c>
      <c r="B13" s="378" t="s">
        <v>448</v>
      </c>
      <c r="C13" s="379">
        <v>6830286158</v>
      </c>
      <c r="D13" s="379">
        <v>9578156121</v>
      </c>
    </row>
    <row r="14" spans="1:4" ht="16.5" customHeight="1">
      <c r="A14" s="398" t="s">
        <v>453</v>
      </c>
      <c r="B14" s="378" t="s">
        <v>449</v>
      </c>
      <c r="C14" s="379">
        <v>0</v>
      </c>
      <c r="D14" s="379">
        <v>0</v>
      </c>
    </row>
    <row r="15" spans="1:4" s="313" customFormat="1" ht="16.5" customHeight="1">
      <c r="A15" s="399" t="s">
        <v>458</v>
      </c>
      <c r="B15" s="395" t="s">
        <v>450</v>
      </c>
      <c r="C15" s="396">
        <v>53690210433</v>
      </c>
      <c r="D15" s="396">
        <v>63876500534</v>
      </c>
    </row>
    <row r="16" spans="1:4" ht="16.5" customHeight="1">
      <c r="A16" s="398" t="s">
        <v>459</v>
      </c>
      <c r="B16" s="378" t="s">
        <v>451</v>
      </c>
      <c r="C16" s="379">
        <v>23249047737</v>
      </c>
      <c r="D16" s="379">
        <v>31582455942</v>
      </c>
    </row>
    <row r="17" spans="1:4" ht="16.5" customHeight="1">
      <c r="A17" s="398" t="s">
        <v>462</v>
      </c>
      <c r="B17" s="378" t="s">
        <v>452</v>
      </c>
      <c r="C17" s="379">
        <v>87669567</v>
      </c>
      <c r="D17" s="379">
        <v>6760474386</v>
      </c>
    </row>
    <row r="18" spans="1:4" s="219" customFormat="1" ht="16.5" customHeight="1">
      <c r="A18" s="290" t="s">
        <v>488</v>
      </c>
      <c r="B18" s="378" t="s">
        <v>489</v>
      </c>
      <c r="C18" s="394">
        <f>+C19+C20+C25+C26+C27</f>
        <v>136773217921</v>
      </c>
      <c r="D18" s="394">
        <f>+D19+D20+D25+D26+D27</f>
        <v>154134778330</v>
      </c>
    </row>
    <row r="19" spans="1:4" ht="16.5" customHeight="1">
      <c r="A19" s="398" t="s">
        <v>447</v>
      </c>
      <c r="B19" s="378" t="s">
        <v>454</v>
      </c>
      <c r="C19" s="379">
        <v>311944632</v>
      </c>
      <c r="D19" s="379">
        <v>348739468</v>
      </c>
    </row>
    <row r="20" spans="1:4" ht="16.5" customHeight="1">
      <c r="A20" s="398" t="s">
        <v>453</v>
      </c>
      <c r="B20" s="378" t="s">
        <v>455</v>
      </c>
      <c r="C20" s="379">
        <f>+SUM(C21:C24)</f>
        <v>115736075253</v>
      </c>
      <c r="D20" s="379">
        <f>+SUM(D21:D24)</f>
        <v>131178742516</v>
      </c>
    </row>
    <row r="21" spans="1:4" ht="16.5" customHeight="1">
      <c r="A21" s="409">
        <v>1</v>
      </c>
      <c r="B21" s="382" t="s">
        <v>781</v>
      </c>
      <c r="C21" s="379">
        <v>75347369646</v>
      </c>
      <c r="D21" s="379">
        <v>68300440160</v>
      </c>
    </row>
    <row r="22" spans="1:4" ht="16.5" customHeight="1">
      <c r="A22" s="409">
        <v>2</v>
      </c>
      <c r="B22" s="382" t="s">
        <v>782</v>
      </c>
      <c r="C22" s="379">
        <v>4954988717</v>
      </c>
      <c r="D22" s="379">
        <v>4787979017</v>
      </c>
    </row>
    <row r="23" spans="1:4" ht="16.5" customHeight="1">
      <c r="A23" s="409">
        <v>3</v>
      </c>
      <c r="B23" s="382" t="s">
        <v>783</v>
      </c>
      <c r="C23" s="379">
        <v>2981065464</v>
      </c>
      <c r="D23" s="379">
        <v>2683332420</v>
      </c>
    </row>
    <row r="24" spans="1:4" ht="16.5" customHeight="1">
      <c r="A24" s="409">
        <v>4</v>
      </c>
      <c r="B24" s="380" t="s">
        <v>784</v>
      </c>
      <c r="C24" s="379">
        <v>32452651426</v>
      </c>
      <c r="D24" s="381">
        <v>55406990919</v>
      </c>
    </row>
    <row r="25" spans="1:4" ht="16.5" customHeight="1">
      <c r="A25" s="398" t="s">
        <v>458</v>
      </c>
      <c r="B25" s="378" t="s">
        <v>456</v>
      </c>
      <c r="C25" s="379">
        <v>0</v>
      </c>
      <c r="D25" s="379">
        <v>0</v>
      </c>
    </row>
    <row r="26" spans="1:4" ht="16.5" customHeight="1">
      <c r="A26" s="398" t="s">
        <v>459</v>
      </c>
      <c r="B26" s="378" t="s">
        <v>486</v>
      </c>
      <c r="C26" s="379">
        <v>16536042430</v>
      </c>
      <c r="D26" s="379">
        <v>19961057430</v>
      </c>
    </row>
    <row r="27" spans="1:4" ht="16.5" customHeight="1">
      <c r="A27" s="400" t="s">
        <v>462</v>
      </c>
      <c r="B27" s="389" t="s">
        <v>457</v>
      </c>
      <c r="C27" s="390">
        <v>4189155606</v>
      </c>
      <c r="D27" s="390">
        <v>2646238916</v>
      </c>
    </row>
    <row r="28" spans="1:4" s="219" customFormat="1" ht="20.25" customHeight="1">
      <c r="A28" s="371"/>
      <c r="B28" s="401" t="s">
        <v>490</v>
      </c>
      <c r="C28" s="402">
        <f>+C12+C18</f>
        <v>220630431816</v>
      </c>
      <c r="D28" s="402">
        <f>+D12+D18</f>
        <v>265932365313</v>
      </c>
    </row>
    <row r="29" spans="1:4" s="219" customFormat="1" ht="16.5" customHeight="1">
      <c r="A29" s="371"/>
      <c r="B29" s="397" t="s">
        <v>491</v>
      </c>
      <c r="C29" s="397" t="s">
        <v>445</v>
      </c>
      <c r="D29" s="397" t="s">
        <v>446</v>
      </c>
    </row>
    <row r="30" spans="1:4" s="219" customFormat="1" ht="16.5" customHeight="1">
      <c r="A30" s="388" t="s">
        <v>1118</v>
      </c>
      <c r="B30" s="377" t="s">
        <v>785</v>
      </c>
      <c r="C30" s="393">
        <f>C31+C32</f>
        <v>156569986107</v>
      </c>
      <c r="D30" s="393">
        <f>D31+D32</f>
        <v>193876280299</v>
      </c>
    </row>
    <row r="31" spans="1:4" ht="16.5" customHeight="1">
      <c r="A31" s="398" t="s">
        <v>447</v>
      </c>
      <c r="B31" s="378" t="s">
        <v>460</v>
      </c>
      <c r="C31" s="379">
        <v>127923179882</v>
      </c>
      <c r="D31" s="379">
        <v>147730896983</v>
      </c>
    </row>
    <row r="32" spans="1:4" s="313" customFormat="1" ht="16.5" customHeight="1">
      <c r="A32" s="398" t="s">
        <v>453</v>
      </c>
      <c r="B32" s="395" t="s">
        <v>461</v>
      </c>
      <c r="C32" s="396">
        <v>28646806225</v>
      </c>
      <c r="D32" s="396">
        <v>46145383316</v>
      </c>
    </row>
    <row r="33" spans="1:4" s="219" customFormat="1" ht="16.5" customHeight="1">
      <c r="A33" s="290" t="s">
        <v>488</v>
      </c>
      <c r="B33" s="378" t="s">
        <v>463</v>
      </c>
      <c r="C33" s="394">
        <f>C34+C43</f>
        <v>64060445709</v>
      </c>
      <c r="D33" s="394">
        <f>D34+D43</f>
        <v>72056085014</v>
      </c>
    </row>
    <row r="34" spans="1:4" ht="16.5" customHeight="1">
      <c r="A34" s="398" t="s">
        <v>447</v>
      </c>
      <c r="B34" s="378" t="s">
        <v>464</v>
      </c>
      <c r="C34" s="379">
        <f>+SUM(C35:C41)</f>
        <v>64078784047</v>
      </c>
      <c r="D34" s="379">
        <f>+SUM(D35:D41)</f>
        <v>72450495352</v>
      </c>
    </row>
    <row r="35" spans="1:4" ht="16.5" customHeight="1">
      <c r="A35" s="293">
        <v>1</v>
      </c>
      <c r="B35" s="382" t="s">
        <v>465</v>
      </c>
      <c r="C35" s="379">
        <v>51222610000</v>
      </c>
      <c r="D35" s="379">
        <v>55756270000</v>
      </c>
    </row>
    <row r="36" spans="1:4" ht="16.5" customHeight="1">
      <c r="A36" s="293">
        <v>2</v>
      </c>
      <c r="B36" s="382" t="s">
        <v>466</v>
      </c>
      <c r="C36" s="379">
        <v>0</v>
      </c>
      <c r="D36" s="379">
        <v>5292220000</v>
      </c>
    </row>
    <row r="37" spans="1:4" ht="16.5" customHeight="1">
      <c r="A37" s="293">
        <v>3</v>
      </c>
      <c r="B37" s="382" t="s">
        <v>467</v>
      </c>
      <c r="C37" s="379">
        <v>0</v>
      </c>
      <c r="D37" s="379">
        <v>18790000</v>
      </c>
    </row>
    <row r="38" spans="1:4" ht="16.5" customHeight="1">
      <c r="A38" s="293">
        <v>4</v>
      </c>
      <c r="B38" s="382" t="s">
        <v>786</v>
      </c>
      <c r="C38" s="379">
        <v>0</v>
      </c>
      <c r="D38" s="379">
        <v>0</v>
      </c>
    </row>
    <row r="39" spans="1:4" ht="16.5" customHeight="1">
      <c r="A39" s="293">
        <v>5</v>
      </c>
      <c r="B39" s="382" t="s">
        <v>787</v>
      </c>
      <c r="C39" s="379">
        <v>0</v>
      </c>
      <c r="D39" s="379">
        <v>2466773</v>
      </c>
    </row>
    <row r="40" spans="1:4" ht="16.5" customHeight="1">
      <c r="A40" s="293">
        <v>6</v>
      </c>
      <c r="B40" s="382" t="s">
        <v>468</v>
      </c>
      <c r="C40" s="379">
        <f>2457410134+2222638949</f>
        <v>4680049083</v>
      </c>
      <c r="D40" s="379">
        <f>2457410134+2203848949</f>
        <v>4661259083</v>
      </c>
    </row>
    <row r="41" spans="1:4" ht="16.5" customHeight="1">
      <c r="A41" s="293">
        <v>7</v>
      </c>
      <c r="B41" s="382" t="s">
        <v>469</v>
      </c>
      <c r="C41" s="379">
        <v>8176124964</v>
      </c>
      <c r="D41" s="379">
        <v>6719489496</v>
      </c>
    </row>
    <row r="42" spans="1:4" ht="16.5" customHeight="1">
      <c r="A42" s="293">
        <v>8</v>
      </c>
      <c r="B42" s="410" t="s">
        <v>788</v>
      </c>
      <c r="C42" s="379">
        <v>0</v>
      </c>
      <c r="D42" s="379">
        <v>0</v>
      </c>
    </row>
    <row r="43" spans="1:4" ht="16.5" customHeight="1">
      <c r="A43" s="400" t="s">
        <v>453</v>
      </c>
      <c r="B43" s="378" t="s">
        <v>470</v>
      </c>
      <c r="C43" s="381">
        <f>+SUM(C44:C46)</f>
        <v>-18338338</v>
      </c>
      <c r="D43" s="381">
        <f>+SUM(D44:D46)</f>
        <v>-394410338</v>
      </c>
    </row>
    <row r="44" spans="1:4" ht="16.5" customHeight="1">
      <c r="A44" s="293">
        <v>1</v>
      </c>
      <c r="B44" s="382" t="s">
        <v>789</v>
      </c>
      <c r="C44" s="381">
        <v>-18338338</v>
      </c>
      <c r="D44" s="381">
        <v>-394410338</v>
      </c>
    </row>
    <row r="45" spans="1:4" ht="16.5" customHeight="1">
      <c r="A45" s="293">
        <v>2</v>
      </c>
      <c r="B45" s="382" t="s">
        <v>790</v>
      </c>
      <c r="C45" s="382"/>
      <c r="D45" s="382"/>
    </row>
    <row r="46" spans="1:4" ht="16.5" customHeight="1">
      <c r="A46" s="411">
        <v>3</v>
      </c>
      <c r="B46" s="412" t="s">
        <v>791</v>
      </c>
      <c r="C46" s="413"/>
      <c r="D46" s="413"/>
    </row>
    <row r="47" spans="1:6" s="219" customFormat="1" ht="20.25" customHeight="1">
      <c r="A47" s="371"/>
      <c r="B47" s="391" t="s">
        <v>492</v>
      </c>
      <c r="C47" s="392">
        <f>C30+C33</f>
        <v>220630431816</v>
      </c>
      <c r="D47" s="392">
        <f>D30+D33</f>
        <v>265932365313</v>
      </c>
      <c r="E47" s="298"/>
      <c r="F47" s="298"/>
    </row>
    <row r="49" spans="1:4" ht="15.75">
      <c r="A49" s="447" t="s">
        <v>496</v>
      </c>
      <c r="B49" s="447"/>
      <c r="C49" s="447"/>
      <c r="D49" s="447"/>
    </row>
    <row r="50" ht="15">
      <c r="D50" s="403" t="s">
        <v>494</v>
      </c>
    </row>
    <row r="51" spans="1:4" ht="21" customHeight="1">
      <c r="A51" s="405" t="s">
        <v>443</v>
      </c>
      <c r="B51" s="405" t="s">
        <v>647</v>
      </c>
      <c r="C51" s="405" t="s">
        <v>1155</v>
      </c>
      <c r="D51" s="405" t="s">
        <v>471</v>
      </c>
    </row>
    <row r="52" spans="1:4" ht="16.5" customHeight="1">
      <c r="A52" s="388">
        <v>1</v>
      </c>
      <c r="B52" s="376" t="s">
        <v>472</v>
      </c>
      <c r="C52" s="383">
        <v>94313130689</v>
      </c>
      <c r="D52" s="383">
        <v>172203267648</v>
      </c>
    </row>
    <row r="53" spans="1:4" ht="16.5" customHeight="1">
      <c r="A53" s="290">
        <v>2</v>
      </c>
      <c r="B53" s="291" t="s">
        <v>473</v>
      </c>
      <c r="C53" s="384">
        <v>28267224</v>
      </c>
      <c r="D53" s="384">
        <v>29807674</v>
      </c>
    </row>
    <row r="54" spans="1:4" ht="16.5" customHeight="1">
      <c r="A54" s="290">
        <v>3</v>
      </c>
      <c r="B54" s="291" t="s">
        <v>792</v>
      </c>
      <c r="C54" s="384">
        <f>C52-C53</f>
        <v>94284863465</v>
      </c>
      <c r="D54" s="384">
        <f>D52-D53</f>
        <v>172173459974</v>
      </c>
    </row>
    <row r="55" spans="1:4" ht="16.5" customHeight="1">
      <c r="A55" s="290">
        <v>4</v>
      </c>
      <c r="B55" s="291" t="s">
        <v>474</v>
      </c>
      <c r="C55" s="384">
        <v>78663856490</v>
      </c>
      <c r="D55" s="384">
        <v>145632844729</v>
      </c>
    </row>
    <row r="56" spans="1:4" ht="16.5" customHeight="1">
      <c r="A56" s="290">
        <v>5</v>
      </c>
      <c r="B56" s="294" t="s">
        <v>475</v>
      </c>
      <c r="C56" s="384">
        <f>C54-C55</f>
        <v>15621006975</v>
      </c>
      <c r="D56" s="384">
        <f>D54-D55</f>
        <v>26540615245</v>
      </c>
    </row>
    <row r="57" spans="1:4" ht="16.5" customHeight="1">
      <c r="A57" s="290">
        <v>6</v>
      </c>
      <c r="B57" s="291" t="s">
        <v>476</v>
      </c>
      <c r="C57" s="407">
        <v>11382476483</v>
      </c>
      <c r="D57" s="407">
        <v>13510203730</v>
      </c>
    </row>
    <row r="58" spans="1:4" ht="16.5" customHeight="1">
      <c r="A58" s="290">
        <v>7</v>
      </c>
      <c r="B58" s="291" t="s">
        <v>477</v>
      </c>
      <c r="C58" s="407">
        <v>4857154958</v>
      </c>
      <c r="D58" s="407">
        <v>9099386900</v>
      </c>
    </row>
    <row r="59" spans="1:4" ht="16.5" customHeight="1">
      <c r="A59" s="290">
        <v>8</v>
      </c>
      <c r="B59" s="291" t="s">
        <v>478</v>
      </c>
      <c r="C59" s="407">
        <v>10466642574</v>
      </c>
      <c r="D59" s="407">
        <v>14387327110</v>
      </c>
    </row>
    <row r="60" spans="1:4" ht="16.5" customHeight="1">
      <c r="A60" s="290">
        <v>9</v>
      </c>
      <c r="B60" s="291" t="s">
        <v>479</v>
      </c>
      <c r="C60" s="407">
        <v>4865394529</v>
      </c>
      <c r="D60" s="407">
        <v>9524581156</v>
      </c>
    </row>
    <row r="61" spans="1:4" ht="16.5" customHeight="1">
      <c r="A61" s="290">
        <v>10</v>
      </c>
      <c r="B61" s="292" t="s">
        <v>480</v>
      </c>
      <c r="C61" s="385">
        <f>C56+C57-C58-C59-C60</f>
        <v>6814291397</v>
      </c>
      <c r="D61" s="385">
        <f>D56+D57-D58-D59-D60</f>
        <v>7039523809</v>
      </c>
    </row>
    <row r="62" spans="1:4" ht="16.5" customHeight="1">
      <c r="A62" s="290">
        <v>11</v>
      </c>
      <c r="B62" s="291" t="s">
        <v>481</v>
      </c>
      <c r="C62" s="407">
        <v>2563768776</v>
      </c>
      <c r="D62" s="407">
        <v>6415127357</v>
      </c>
    </row>
    <row r="63" spans="1:4" ht="16.5" customHeight="1">
      <c r="A63" s="290">
        <v>12</v>
      </c>
      <c r="B63" s="291" t="s">
        <v>482</v>
      </c>
      <c r="C63" s="407">
        <v>4838070345</v>
      </c>
      <c r="D63" s="407">
        <v>4902521073</v>
      </c>
    </row>
    <row r="64" spans="1:4" ht="16.5" customHeight="1">
      <c r="A64" s="290">
        <v>13</v>
      </c>
      <c r="B64" s="291" t="s">
        <v>483</v>
      </c>
      <c r="C64" s="381">
        <f>C62-C63</f>
        <v>-2274301569</v>
      </c>
      <c r="D64" s="408">
        <v>1512606284</v>
      </c>
    </row>
    <row r="65" spans="1:4" ht="16.5" customHeight="1">
      <c r="A65" s="290">
        <v>14</v>
      </c>
      <c r="B65" s="291" t="s">
        <v>793</v>
      </c>
      <c r="C65" s="384">
        <f>C61+C64</f>
        <v>4539989828</v>
      </c>
      <c r="D65" s="384">
        <f>D61+D64</f>
        <v>8552130093</v>
      </c>
    </row>
    <row r="66" spans="1:4" ht="16.5" customHeight="1">
      <c r="A66" s="290">
        <v>15</v>
      </c>
      <c r="B66" s="291" t="s">
        <v>794</v>
      </c>
      <c r="C66" s="407">
        <v>1702752607</v>
      </c>
      <c r="D66" s="407">
        <v>1702752608</v>
      </c>
    </row>
    <row r="67" spans="1:4" ht="16.5" customHeight="1">
      <c r="A67" s="290">
        <v>16</v>
      </c>
      <c r="B67" s="291" t="s">
        <v>497</v>
      </c>
      <c r="C67" s="384">
        <f>C65-C66</f>
        <v>2837237221</v>
      </c>
      <c r="D67" s="384">
        <f>D65-D66</f>
        <v>6849377485</v>
      </c>
    </row>
    <row r="68" spans="1:4" ht="16.5" customHeight="1">
      <c r="A68" s="290">
        <v>17</v>
      </c>
      <c r="B68" s="291" t="s">
        <v>795</v>
      </c>
      <c r="C68" s="381">
        <f>C67/5575627</f>
        <v>508.86424450559554</v>
      </c>
      <c r="D68" s="381">
        <f>D67/5575627</f>
        <v>1228.4497304070017</v>
      </c>
    </row>
    <row r="69" spans="1:4" ht="16.5" customHeight="1">
      <c r="A69" s="404">
        <v>18</v>
      </c>
      <c r="B69" s="295" t="s">
        <v>484</v>
      </c>
      <c r="C69" s="386"/>
      <c r="D69" s="386"/>
    </row>
    <row r="70" spans="1:4" ht="15">
      <c r="A70" s="224"/>
      <c r="B70" s="225"/>
      <c r="C70" s="387"/>
      <c r="D70" s="387"/>
    </row>
    <row r="71" spans="1:4" ht="15">
      <c r="A71" s="468" t="s">
        <v>135</v>
      </c>
      <c r="B71" s="468"/>
      <c r="C71" s="468"/>
      <c r="D71" s="468"/>
    </row>
    <row r="72" spans="1:4" ht="15">
      <c r="A72" s="468" t="s">
        <v>499</v>
      </c>
      <c r="B72" s="468"/>
      <c r="C72" s="468"/>
      <c r="D72" s="468"/>
    </row>
    <row r="73" spans="1:4" ht="15">
      <c r="A73" s="224"/>
      <c r="B73" s="225"/>
      <c r="C73" s="387"/>
      <c r="D73" s="387"/>
    </row>
    <row r="74" spans="3:4" ht="15">
      <c r="C74" s="446" t="s">
        <v>501</v>
      </c>
      <c r="D74" s="446"/>
    </row>
    <row r="75" spans="1:4" ht="15">
      <c r="A75" s="467"/>
      <c r="B75" s="467"/>
      <c r="C75" s="467" t="s">
        <v>485</v>
      </c>
      <c r="D75" s="467"/>
    </row>
    <row r="82" spans="1:4" ht="15">
      <c r="A82" s="467"/>
      <c r="B82" s="467"/>
      <c r="C82" s="467" t="s">
        <v>498</v>
      </c>
      <c r="D82" s="467"/>
    </row>
  </sheetData>
  <mergeCells count="16">
    <mergeCell ref="A49:D49"/>
    <mergeCell ref="C1:D1"/>
    <mergeCell ref="C2:D2"/>
    <mergeCell ref="C3:D3"/>
    <mergeCell ref="A6:D6"/>
    <mergeCell ref="A7:D7"/>
    <mergeCell ref="E7:G7"/>
    <mergeCell ref="A9:D9"/>
    <mergeCell ref="E9:G9"/>
    <mergeCell ref="A82:B82"/>
    <mergeCell ref="C82:D82"/>
    <mergeCell ref="A71:D71"/>
    <mergeCell ref="A72:D72"/>
    <mergeCell ref="C74:D74"/>
    <mergeCell ref="A75:B75"/>
    <mergeCell ref="C75:D75"/>
  </mergeCells>
  <printOptions/>
  <pageMargins left="0.75" right="0.16" top="0.53" bottom="0.64" header="0.17" footer="0.42"/>
  <pageSetup horizontalDpi="600" verticalDpi="600" orientation="portrait" r:id="rId1"/>
  <headerFooter alignWithMargins="0">
    <oddFooter>&amp;C&amp;8&amp;A&amp;R&amp;8trang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8"/>
  <sheetViews>
    <sheetView workbookViewId="0" topLeftCell="A64">
      <selection activeCell="A70" sqref="A70:G70"/>
    </sheetView>
  </sheetViews>
  <sheetFormatPr defaultColWidth="8.796875" defaultRowHeight="15"/>
  <cols>
    <col min="1" max="1" width="12.296875" style="0" customWidth="1"/>
    <col min="2" max="2" width="13.69921875" style="0" customWidth="1"/>
    <col min="3" max="3" width="12.8984375" style="0" bestFit="1" customWidth="1"/>
    <col min="4" max="4" width="12.3984375" style="0" customWidth="1"/>
    <col min="5" max="5" width="15" style="0" customWidth="1"/>
    <col min="6" max="6" width="15.3984375" style="0" customWidth="1"/>
    <col min="7" max="7" width="14" style="0" customWidth="1"/>
    <col min="8" max="8" width="15.3984375" style="0" bestFit="1" customWidth="1"/>
    <col min="9" max="9" width="14.296875" style="0" bestFit="1" customWidth="1"/>
    <col min="10" max="10" width="12.3984375" style="0" bestFit="1" customWidth="1"/>
  </cols>
  <sheetData>
    <row r="1" spans="1:7" ht="18.75" customHeight="1">
      <c r="A1" s="117" t="s">
        <v>428</v>
      </c>
      <c r="B1" s="3"/>
      <c r="C1" s="3"/>
      <c r="D1" s="3"/>
      <c r="E1" s="434" t="s">
        <v>1218</v>
      </c>
      <c r="F1" s="434"/>
      <c r="G1" s="434"/>
    </row>
    <row r="2" spans="1:7" ht="18.75" customHeight="1">
      <c r="A2" s="3" t="s">
        <v>427</v>
      </c>
      <c r="B2" s="42"/>
      <c r="C2" s="42"/>
      <c r="D2" s="42"/>
      <c r="E2" s="436" t="s">
        <v>1177</v>
      </c>
      <c r="F2" s="436"/>
      <c r="G2" s="436"/>
    </row>
    <row r="3" spans="1:7" ht="15" customHeight="1">
      <c r="A3" s="93" t="s">
        <v>429</v>
      </c>
      <c r="B3" s="12"/>
      <c r="C3" s="12"/>
      <c r="D3" s="12"/>
      <c r="E3" s="436" t="s">
        <v>1178</v>
      </c>
      <c r="F3" s="436"/>
      <c r="G3" s="436"/>
    </row>
    <row r="4" spans="1:7" ht="16.5">
      <c r="A4" s="12"/>
      <c r="B4" s="12"/>
      <c r="C4" s="12"/>
      <c r="D4" s="12"/>
      <c r="F4" s="27"/>
      <c r="G4" s="27"/>
    </row>
    <row r="5" spans="1:7" ht="18.75" customHeight="1">
      <c r="A5" s="477" t="s">
        <v>426</v>
      </c>
      <c r="B5" s="477"/>
      <c r="C5" s="477"/>
      <c r="D5" s="477"/>
      <c r="E5" s="477"/>
      <c r="F5" s="477"/>
      <c r="G5" s="477"/>
    </row>
    <row r="6" spans="1:7" ht="18.75" customHeight="1">
      <c r="A6" s="434" t="s">
        <v>424</v>
      </c>
      <c r="B6" s="434"/>
      <c r="C6" s="434"/>
      <c r="D6" s="434"/>
      <c r="E6" s="434"/>
      <c r="F6" s="434"/>
      <c r="G6" s="434"/>
    </row>
    <row r="7" spans="1:7" s="2" customFormat="1" ht="18.75" customHeight="1">
      <c r="A7" s="6"/>
      <c r="B7" s="6"/>
      <c r="C7" s="6"/>
      <c r="D7" s="6"/>
      <c r="E7" s="6"/>
      <c r="F7" s="6"/>
      <c r="G7" s="6"/>
    </row>
    <row r="8" spans="1:7" s="2" customFormat="1" ht="15.75">
      <c r="A8" s="476" t="s">
        <v>404</v>
      </c>
      <c r="B8" s="476"/>
      <c r="C8" s="476"/>
      <c r="D8" s="476"/>
      <c r="E8" s="476"/>
      <c r="F8" s="476"/>
      <c r="G8" s="476"/>
    </row>
    <row r="9" spans="1:7" s="2" customFormat="1" ht="15">
      <c r="A9" s="441" t="s">
        <v>1203</v>
      </c>
      <c r="B9" s="441"/>
      <c r="C9" s="441"/>
      <c r="D9" s="441"/>
      <c r="E9" s="441"/>
      <c r="F9" s="441"/>
      <c r="G9" s="441"/>
    </row>
    <row r="10" spans="1:7" s="2" customFormat="1" ht="15">
      <c r="A10" s="441" t="s">
        <v>1204</v>
      </c>
      <c r="B10" s="441"/>
      <c r="C10" s="441"/>
      <c r="D10" s="441"/>
      <c r="E10" s="441"/>
      <c r="F10" s="441"/>
      <c r="G10" s="441"/>
    </row>
    <row r="11" spans="1:7" s="2" customFormat="1" ht="90.75" customHeight="1">
      <c r="A11" s="431" t="s">
        <v>1205</v>
      </c>
      <c r="B11" s="440"/>
      <c r="C11" s="440"/>
      <c r="D11" s="440"/>
      <c r="E11" s="440"/>
      <c r="F11" s="440"/>
      <c r="G11" s="440"/>
    </row>
    <row r="12" spans="1:7" s="2" customFormat="1" ht="15.75">
      <c r="A12" s="476" t="s">
        <v>405</v>
      </c>
      <c r="B12" s="476"/>
      <c r="C12" s="476"/>
      <c r="D12" s="476"/>
      <c r="E12" s="476"/>
      <c r="F12" s="476"/>
      <c r="G12" s="476"/>
    </row>
    <row r="13" spans="1:7" s="2" customFormat="1" ht="15">
      <c r="A13" s="441" t="s">
        <v>406</v>
      </c>
      <c r="B13" s="441"/>
      <c r="C13" s="441"/>
      <c r="D13" s="441"/>
      <c r="E13" s="441"/>
      <c r="F13" s="441"/>
      <c r="G13" s="441"/>
    </row>
    <row r="14" spans="1:7" s="2" customFormat="1" ht="15">
      <c r="A14" s="441" t="s">
        <v>407</v>
      </c>
      <c r="B14" s="441"/>
      <c r="C14" s="441"/>
      <c r="D14" s="441"/>
      <c r="E14" s="441"/>
      <c r="F14" s="441"/>
      <c r="G14" s="441"/>
    </row>
    <row r="15" s="2" customFormat="1" ht="15.75">
      <c r="A15" s="1" t="s">
        <v>408</v>
      </c>
    </row>
    <row r="16" spans="1:7" s="2" customFormat="1" ht="15">
      <c r="A16" s="441" t="s">
        <v>409</v>
      </c>
      <c r="B16" s="441"/>
      <c r="C16" s="441"/>
      <c r="D16" s="441"/>
      <c r="E16" s="441"/>
      <c r="F16" s="441"/>
      <c r="G16" s="441"/>
    </row>
    <row r="17" spans="1:8" s="2" customFormat="1" ht="101.25" customHeight="1">
      <c r="A17" s="431" t="s">
        <v>127</v>
      </c>
      <c r="B17" s="440"/>
      <c r="C17" s="440"/>
      <c r="D17" s="440"/>
      <c r="E17" s="440"/>
      <c r="F17" s="440"/>
      <c r="G17" s="440"/>
      <c r="H17" s="2" t="s">
        <v>410</v>
      </c>
    </row>
    <row r="18" spans="1:7" s="2" customFormat="1" ht="15">
      <c r="A18" s="441" t="s">
        <v>411</v>
      </c>
      <c r="B18" s="441"/>
      <c r="C18" s="441"/>
      <c r="D18" s="441"/>
      <c r="E18" s="441"/>
      <c r="F18" s="441"/>
      <c r="G18" s="441"/>
    </row>
    <row r="19" spans="1:7" s="2" customFormat="1" ht="15.75">
      <c r="A19" s="476" t="s">
        <v>412</v>
      </c>
      <c r="B19" s="476"/>
      <c r="C19" s="476"/>
      <c r="D19" s="476"/>
      <c r="E19" s="476"/>
      <c r="F19" s="476"/>
      <c r="G19" s="476"/>
    </row>
    <row r="20" spans="1:7" s="2" customFormat="1" ht="15.75">
      <c r="A20" s="17" t="s">
        <v>413</v>
      </c>
      <c r="B20" s="74"/>
      <c r="C20" s="74"/>
      <c r="D20" s="74"/>
      <c r="E20" s="74"/>
      <c r="F20" s="74"/>
      <c r="G20" s="74"/>
    </row>
    <row r="21" spans="1:7" s="2" customFormat="1" ht="15.75">
      <c r="A21" s="74" t="s">
        <v>414</v>
      </c>
      <c r="B21" s="74"/>
      <c r="C21" s="74"/>
      <c r="D21" s="74"/>
      <c r="E21" s="74"/>
      <c r="F21" s="74"/>
      <c r="G21" s="74"/>
    </row>
    <row r="22" spans="1:7" s="2" customFormat="1" ht="15.75">
      <c r="A22" s="17" t="s">
        <v>415</v>
      </c>
      <c r="B22" s="74"/>
      <c r="C22" s="74"/>
      <c r="D22" s="74"/>
      <c r="E22" s="74"/>
      <c r="F22" s="74"/>
      <c r="G22" s="74"/>
    </row>
    <row r="23" spans="1:7" s="2" customFormat="1" ht="58.5" customHeight="1">
      <c r="A23" s="431" t="s">
        <v>416</v>
      </c>
      <c r="B23" s="440"/>
      <c r="C23" s="440"/>
      <c r="D23" s="440"/>
      <c r="E23" s="440"/>
      <c r="F23" s="440"/>
      <c r="G23" s="440"/>
    </row>
    <row r="24" spans="1:7" s="2" customFormat="1" ht="15">
      <c r="A24" s="480" t="s">
        <v>417</v>
      </c>
      <c r="B24" s="433"/>
      <c r="C24" s="433"/>
      <c r="D24" s="433"/>
      <c r="E24" s="433"/>
      <c r="F24" s="433"/>
      <c r="G24" s="433"/>
    </row>
    <row r="25" spans="1:7" s="2" customFormat="1" ht="90.75" customHeight="1">
      <c r="A25" s="431" t="s">
        <v>1381</v>
      </c>
      <c r="B25" s="440"/>
      <c r="C25" s="440"/>
      <c r="D25" s="440"/>
      <c r="E25" s="440"/>
      <c r="F25" s="440"/>
      <c r="G25" s="440"/>
    </row>
    <row r="26" spans="1:7" s="2" customFormat="1" ht="15">
      <c r="A26" s="431" t="s">
        <v>418</v>
      </c>
      <c r="B26" s="431"/>
      <c r="C26" s="431"/>
      <c r="D26" s="431"/>
      <c r="E26" s="431"/>
      <c r="F26" s="431"/>
      <c r="G26" s="431"/>
    </row>
    <row r="27" spans="1:7" s="2" customFormat="1" ht="15">
      <c r="A27" s="415" t="s">
        <v>419</v>
      </c>
      <c r="B27" s="415"/>
      <c r="C27" s="415"/>
      <c r="D27" s="415"/>
      <c r="E27" s="415"/>
      <c r="F27" s="415"/>
      <c r="G27" s="415"/>
    </row>
    <row r="28" spans="1:7" s="2" customFormat="1" ht="15">
      <c r="A28" s="415" t="s">
        <v>420</v>
      </c>
      <c r="B28" s="441"/>
      <c r="C28" s="441"/>
      <c r="D28" s="441"/>
      <c r="E28" s="441"/>
      <c r="F28" s="441"/>
      <c r="G28" s="441"/>
    </row>
    <row r="29" spans="1:7" s="2" customFormat="1" ht="15">
      <c r="A29" s="415" t="s">
        <v>421</v>
      </c>
      <c r="B29" s="441"/>
      <c r="C29" s="441"/>
      <c r="D29" s="441"/>
      <c r="E29" s="441"/>
      <c r="F29" s="441"/>
      <c r="G29" s="441"/>
    </row>
    <row r="30" spans="1:256" s="2" customFormat="1" ht="30" customHeight="1">
      <c r="A30" s="431" t="s">
        <v>422</v>
      </c>
      <c r="B30" s="440"/>
      <c r="C30" s="440"/>
      <c r="D30" s="440"/>
      <c r="E30" s="440"/>
      <c r="F30" s="440"/>
      <c r="G30" s="440"/>
      <c r="H30" s="431"/>
      <c r="I30" s="440"/>
      <c r="J30" s="440"/>
      <c r="K30" s="440"/>
      <c r="L30" s="440"/>
      <c r="M30" s="440"/>
      <c r="N30" s="440"/>
      <c r="O30" s="431"/>
      <c r="P30" s="440"/>
      <c r="Q30" s="440"/>
      <c r="R30" s="440"/>
      <c r="S30" s="440"/>
      <c r="T30" s="440"/>
      <c r="U30" s="440"/>
      <c r="V30" s="431"/>
      <c r="W30" s="440"/>
      <c r="X30" s="440"/>
      <c r="Y30" s="440"/>
      <c r="Z30" s="440"/>
      <c r="AA30" s="440"/>
      <c r="AB30" s="440"/>
      <c r="AC30" s="431"/>
      <c r="AD30" s="440"/>
      <c r="AE30" s="440"/>
      <c r="AF30" s="440"/>
      <c r="AG30" s="440"/>
      <c r="AH30" s="440"/>
      <c r="AI30" s="440"/>
      <c r="AJ30" s="431"/>
      <c r="AK30" s="440"/>
      <c r="AL30" s="440"/>
      <c r="AM30" s="440"/>
      <c r="AN30" s="440"/>
      <c r="AO30" s="440"/>
      <c r="AP30" s="440"/>
      <c r="AQ30" s="431"/>
      <c r="AR30" s="440"/>
      <c r="AS30" s="440"/>
      <c r="AT30" s="440"/>
      <c r="AU30" s="440"/>
      <c r="AV30" s="440"/>
      <c r="AW30" s="440"/>
      <c r="AX30" s="431"/>
      <c r="AY30" s="440"/>
      <c r="AZ30" s="440"/>
      <c r="BA30" s="440"/>
      <c r="BB30" s="440"/>
      <c r="BC30" s="440"/>
      <c r="BD30" s="440"/>
      <c r="BE30" s="431"/>
      <c r="BF30" s="440"/>
      <c r="BG30" s="440"/>
      <c r="BH30" s="440"/>
      <c r="BI30" s="440"/>
      <c r="BJ30" s="440"/>
      <c r="BK30" s="440"/>
      <c r="BL30" s="431"/>
      <c r="BM30" s="440"/>
      <c r="BN30" s="440"/>
      <c r="BO30" s="440"/>
      <c r="BP30" s="440"/>
      <c r="BQ30" s="440"/>
      <c r="BR30" s="440"/>
      <c r="BS30" s="431"/>
      <c r="BT30" s="440"/>
      <c r="BU30" s="440"/>
      <c r="BV30" s="440"/>
      <c r="BW30" s="440"/>
      <c r="BX30" s="440"/>
      <c r="BY30" s="440"/>
      <c r="BZ30" s="431"/>
      <c r="CA30" s="440"/>
      <c r="CB30" s="440"/>
      <c r="CC30" s="440"/>
      <c r="CD30" s="440"/>
      <c r="CE30" s="440"/>
      <c r="CF30" s="440"/>
      <c r="CG30" s="431"/>
      <c r="CH30" s="440"/>
      <c r="CI30" s="440"/>
      <c r="CJ30" s="440"/>
      <c r="CK30" s="440"/>
      <c r="CL30" s="440"/>
      <c r="CM30" s="440"/>
      <c r="CN30" s="431"/>
      <c r="CO30" s="440"/>
      <c r="CP30" s="440"/>
      <c r="CQ30" s="440"/>
      <c r="CR30" s="440"/>
      <c r="CS30" s="440"/>
      <c r="CT30" s="440"/>
      <c r="CU30" s="431"/>
      <c r="CV30" s="440"/>
      <c r="CW30" s="440"/>
      <c r="CX30" s="440"/>
      <c r="CY30" s="440"/>
      <c r="CZ30" s="440"/>
      <c r="DA30" s="440"/>
      <c r="DB30" s="431"/>
      <c r="DC30" s="440"/>
      <c r="DD30" s="440"/>
      <c r="DE30" s="440"/>
      <c r="DF30" s="440"/>
      <c r="DG30" s="440"/>
      <c r="DH30" s="440"/>
      <c r="DI30" s="431"/>
      <c r="DJ30" s="440"/>
      <c r="DK30" s="440"/>
      <c r="DL30" s="440"/>
      <c r="DM30" s="440"/>
      <c r="DN30" s="440"/>
      <c r="DO30" s="440"/>
      <c r="DP30" s="431"/>
      <c r="DQ30" s="440"/>
      <c r="DR30" s="440"/>
      <c r="DS30" s="440"/>
      <c r="DT30" s="440"/>
      <c r="DU30" s="440"/>
      <c r="DV30" s="440"/>
      <c r="DW30" s="431"/>
      <c r="DX30" s="440"/>
      <c r="DY30" s="440"/>
      <c r="DZ30" s="440"/>
      <c r="EA30" s="440"/>
      <c r="EB30" s="440"/>
      <c r="EC30" s="440"/>
      <c r="ED30" s="431"/>
      <c r="EE30" s="440"/>
      <c r="EF30" s="440"/>
      <c r="EG30" s="440"/>
      <c r="EH30" s="440"/>
      <c r="EI30" s="440"/>
      <c r="EJ30" s="440"/>
      <c r="EK30" s="431"/>
      <c r="EL30" s="440"/>
      <c r="EM30" s="440"/>
      <c r="EN30" s="440"/>
      <c r="EO30" s="440"/>
      <c r="EP30" s="440"/>
      <c r="EQ30" s="440"/>
      <c r="ER30" s="431"/>
      <c r="ES30" s="440"/>
      <c r="ET30" s="440"/>
      <c r="EU30" s="440"/>
      <c r="EV30" s="440"/>
      <c r="EW30" s="440"/>
      <c r="EX30" s="440"/>
      <c r="EY30" s="431"/>
      <c r="EZ30" s="440"/>
      <c r="FA30" s="440"/>
      <c r="FB30" s="440"/>
      <c r="FC30" s="440"/>
      <c r="FD30" s="440"/>
      <c r="FE30" s="440"/>
      <c r="FF30" s="431"/>
      <c r="FG30" s="440"/>
      <c r="FH30" s="440"/>
      <c r="FI30" s="440"/>
      <c r="FJ30" s="440"/>
      <c r="FK30" s="440"/>
      <c r="FL30" s="440"/>
      <c r="FM30" s="431"/>
      <c r="FN30" s="440"/>
      <c r="FO30" s="440"/>
      <c r="FP30" s="440"/>
      <c r="FQ30" s="440"/>
      <c r="FR30" s="440"/>
      <c r="FS30" s="440"/>
      <c r="FT30" s="431"/>
      <c r="FU30" s="440"/>
      <c r="FV30" s="440"/>
      <c r="FW30" s="440"/>
      <c r="FX30" s="440"/>
      <c r="FY30" s="440"/>
      <c r="FZ30" s="440"/>
      <c r="GA30" s="431"/>
      <c r="GB30" s="440"/>
      <c r="GC30" s="440"/>
      <c r="GD30" s="440"/>
      <c r="GE30" s="440"/>
      <c r="GF30" s="440"/>
      <c r="GG30" s="440"/>
      <c r="GH30" s="431"/>
      <c r="GI30" s="440"/>
      <c r="GJ30" s="440"/>
      <c r="GK30" s="440"/>
      <c r="GL30" s="440"/>
      <c r="GM30" s="440"/>
      <c r="GN30" s="440"/>
      <c r="GO30" s="431"/>
      <c r="GP30" s="440"/>
      <c r="GQ30" s="440"/>
      <c r="GR30" s="440"/>
      <c r="GS30" s="440"/>
      <c r="GT30" s="440"/>
      <c r="GU30" s="440"/>
      <c r="GV30" s="431"/>
      <c r="GW30" s="440"/>
      <c r="GX30" s="440"/>
      <c r="GY30" s="440"/>
      <c r="GZ30" s="440"/>
      <c r="HA30" s="440"/>
      <c r="HB30" s="440"/>
      <c r="HC30" s="431"/>
      <c r="HD30" s="440"/>
      <c r="HE30" s="440"/>
      <c r="HF30" s="440"/>
      <c r="HG30" s="440"/>
      <c r="HH30" s="440"/>
      <c r="HI30" s="440"/>
      <c r="HJ30" s="431"/>
      <c r="HK30" s="440"/>
      <c r="HL30" s="440"/>
      <c r="HM30" s="440"/>
      <c r="HN30" s="440"/>
      <c r="HO30" s="440"/>
      <c r="HP30" s="440"/>
      <c r="HQ30" s="431"/>
      <c r="HR30" s="440"/>
      <c r="HS30" s="440"/>
      <c r="HT30" s="440"/>
      <c r="HU30" s="440"/>
      <c r="HV30" s="440"/>
      <c r="HW30" s="440"/>
      <c r="HX30" s="431"/>
      <c r="HY30" s="440"/>
      <c r="HZ30" s="440"/>
      <c r="IA30" s="440"/>
      <c r="IB30" s="440"/>
      <c r="IC30" s="440"/>
      <c r="ID30" s="440"/>
      <c r="IE30" s="431"/>
      <c r="IF30" s="440"/>
      <c r="IG30" s="440"/>
      <c r="IH30" s="440"/>
      <c r="II30" s="440"/>
      <c r="IJ30" s="440"/>
      <c r="IK30" s="440"/>
      <c r="IL30" s="431"/>
      <c r="IM30" s="440"/>
      <c r="IN30" s="440"/>
      <c r="IO30" s="440"/>
      <c r="IP30" s="440"/>
      <c r="IQ30" s="440"/>
      <c r="IR30" s="440"/>
      <c r="IS30" s="431"/>
      <c r="IT30" s="440"/>
      <c r="IU30" s="440"/>
      <c r="IV30" s="440"/>
    </row>
    <row r="31" spans="1:7" s="2" customFormat="1" ht="15">
      <c r="A31" s="439" t="s">
        <v>423</v>
      </c>
      <c r="B31" s="439"/>
      <c r="C31" s="439"/>
      <c r="D31" s="439"/>
      <c r="E31" s="439"/>
      <c r="F31" s="439"/>
      <c r="G31" s="439"/>
    </row>
    <row r="32" spans="1:7" s="2" customFormat="1" ht="29.25" customHeight="1">
      <c r="A32" s="431" t="s">
        <v>1146</v>
      </c>
      <c r="B32" s="440"/>
      <c r="C32" s="440"/>
      <c r="D32" s="440"/>
      <c r="E32" s="440"/>
      <c r="F32" s="440"/>
      <c r="G32" s="440"/>
    </row>
    <row r="33" spans="1:7" s="2" customFormat="1" ht="43.5" customHeight="1">
      <c r="A33" s="440" t="s">
        <v>129</v>
      </c>
      <c r="B33" s="440"/>
      <c r="C33" s="440"/>
      <c r="D33" s="440"/>
      <c r="E33" s="440"/>
      <c r="F33" s="440"/>
      <c r="G33" s="440"/>
    </row>
    <row r="34" spans="1:7" s="2" customFormat="1" ht="15">
      <c r="A34" s="431" t="s">
        <v>1147</v>
      </c>
      <c r="B34" s="440"/>
      <c r="C34" s="440"/>
      <c r="D34" s="440"/>
      <c r="E34" s="440"/>
      <c r="F34" s="440"/>
      <c r="G34" s="440"/>
    </row>
    <row r="35" spans="1:7" s="2" customFormat="1" ht="15">
      <c r="A35" s="440" t="s">
        <v>1148</v>
      </c>
      <c r="B35" s="440"/>
      <c r="C35" s="440"/>
      <c r="D35" s="440"/>
      <c r="E35" s="440"/>
      <c r="F35" s="440"/>
      <c r="G35" s="440"/>
    </row>
    <row r="36" spans="1:7" s="2" customFormat="1" ht="15">
      <c r="A36" s="440" t="s">
        <v>679</v>
      </c>
      <c r="B36" s="440"/>
      <c r="C36" s="440"/>
      <c r="D36" s="440"/>
      <c r="E36" s="440"/>
      <c r="F36" s="440"/>
      <c r="G36" s="440"/>
    </row>
    <row r="37" spans="1:7" s="2" customFormat="1" ht="15">
      <c r="A37" s="431" t="s">
        <v>680</v>
      </c>
      <c r="B37" s="440"/>
      <c r="C37" s="440"/>
      <c r="D37" s="440"/>
      <c r="E37" s="440"/>
      <c r="F37" s="440"/>
      <c r="G37" s="440"/>
    </row>
    <row r="38" spans="1:7" s="2" customFormat="1" ht="30" customHeight="1">
      <c r="A38" s="440" t="s">
        <v>349</v>
      </c>
      <c r="B38" s="440"/>
      <c r="C38" s="440"/>
      <c r="D38" s="440"/>
      <c r="E38" s="440"/>
      <c r="F38" s="440"/>
      <c r="G38" s="440"/>
    </row>
    <row r="39" spans="1:7" s="2" customFormat="1" ht="44.25" customHeight="1">
      <c r="A39" s="440" t="s">
        <v>128</v>
      </c>
      <c r="B39" s="440"/>
      <c r="C39" s="440"/>
      <c r="D39" s="440"/>
      <c r="E39" s="440"/>
      <c r="F39" s="440"/>
      <c r="G39" s="440"/>
    </row>
    <row r="40" spans="1:7" s="2" customFormat="1" ht="15">
      <c r="A40" s="440" t="s">
        <v>130</v>
      </c>
      <c r="B40" s="440"/>
      <c r="C40" s="440"/>
      <c r="D40" s="440"/>
      <c r="E40" s="440"/>
      <c r="F40" s="440"/>
      <c r="G40" s="440"/>
    </row>
    <row r="41" spans="1:7" s="2" customFormat="1" ht="28.5" customHeight="1">
      <c r="A41" s="433" t="s">
        <v>510</v>
      </c>
      <c r="B41" s="433"/>
      <c r="C41" s="433"/>
      <c r="D41" s="433"/>
      <c r="E41" s="433"/>
      <c r="F41" s="433"/>
      <c r="G41" s="433"/>
    </row>
    <row r="42" spans="1:7" s="2" customFormat="1" ht="43.5" customHeight="1">
      <c r="A42" s="440" t="s">
        <v>511</v>
      </c>
      <c r="B42" s="440"/>
      <c r="C42" s="440"/>
      <c r="D42" s="440"/>
      <c r="E42" s="440"/>
      <c r="F42" s="440"/>
      <c r="G42" s="440"/>
    </row>
    <row r="43" s="2" customFormat="1" ht="15">
      <c r="A43" s="2" t="s">
        <v>512</v>
      </c>
    </row>
    <row r="44" s="2" customFormat="1" ht="15">
      <c r="A44" s="75" t="s">
        <v>513</v>
      </c>
    </row>
    <row r="45" s="2" customFormat="1" ht="15">
      <c r="A45" s="75" t="s">
        <v>514</v>
      </c>
    </row>
    <row r="46" s="2" customFormat="1" ht="15">
      <c r="A46" s="2" t="s">
        <v>515</v>
      </c>
    </row>
    <row r="47" s="2" customFormat="1" ht="15">
      <c r="A47" s="75" t="s">
        <v>516</v>
      </c>
    </row>
    <row r="48" spans="1:15" s="2" customFormat="1" ht="30" customHeight="1">
      <c r="A48" s="440" t="s">
        <v>517</v>
      </c>
      <c r="B48" s="440"/>
      <c r="C48" s="440"/>
      <c r="D48" s="440"/>
      <c r="E48" s="440"/>
      <c r="F48" s="440"/>
      <c r="G48" s="440"/>
      <c r="I48" s="432"/>
      <c r="J48" s="432"/>
      <c r="K48" s="432"/>
      <c r="L48" s="432"/>
      <c r="M48" s="432"/>
      <c r="N48" s="432"/>
      <c r="O48" s="432"/>
    </row>
    <row r="49" spans="1:7" s="2" customFormat="1" ht="15">
      <c r="A49" s="478" t="s">
        <v>518</v>
      </c>
      <c r="B49" s="479"/>
      <c r="C49" s="479"/>
      <c r="D49" s="479"/>
      <c r="E49" s="479"/>
      <c r="F49" s="479"/>
      <c r="G49" s="479"/>
    </row>
    <row r="50" spans="1:7" s="2" customFormat="1" ht="15">
      <c r="A50" s="415" t="s">
        <v>519</v>
      </c>
      <c r="B50" s="415"/>
      <c r="C50" s="415"/>
      <c r="D50" s="415"/>
      <c r="E50" s="415"/>
      <c r="F50" s="415"/>
      <c r="G50" s="415"/>
    </row>
    <row r="51" spans="1:7" s="2" customFormat="1" ht="15">
      <c r="A51" s="415" t="s">
        <v>520</v>
      </c>
      <c r="B51" s="415"/>
      <c r="C51" s="415"/>
      <c r="D51" s="415"/>
      <c r="E51" s="415"/>
      <c r="F51" s="415"/>
      <c r="G51" s="415"/>
    </row>
    <row r="52" spans="1:7" s="2" customFormat="1" ht="15">
      <c r="A52" s="415" t="s">
        <v>521</v>
      </c>
      <c r="B52" s="415"/>
      <c r="C52" s="415"/>
      <c r="D52" s="415"/>
      <c r="E52" s="415"/>
      <c r="F52" s="415"/>
      <c r="G52" s="415"/>
    </row>
    <row r="53" spans="1:7" s="2" customFormat="1" ht="15">
      <c r="A53" s="415" t="s">
        <v>522</v>
      </c>
      <c r="B53" s="415"/>
      <c r="C53" s="415"/>
      <c r="D53" s="415"/>
      <c r="E53" s="415"/>
      <c r="F53" s="415"/>
      <c r="G53" s="415"/>
    </row>
    <row r="54" spans="1:7" s="2" customFormat="1" ht="15">
      <c r="A54" s="441" t="s">
        <v>523</v>
      </c>
      <c r="B54" s="441"/>
      <c r="C54" s="441"/>
      <c r="D54" s="441"/>
      <c r="E54" s="441"/>
      <c r="F54" s="441"/>
      <c r="G54" s="441"/>
    </row>
    <row r="55" spans="1:7" s="2" customFormat="1" ht="15">
      <c r="A55" s="441" t="s">
        <v>524</v>
      </c>
      <c r="B55" s="441"/>
      <c r="C55" s="441"/>
      <c r="D55" s="441"/>
      <c r="E55" s="441"/>
      <c r="F55" s="441"/>
      <c r="G55" s="441"/>
    </row>
    <row r="56" spans="1:7" s="2" customFormat="1" ht="15">
      <c r="A56" s="415" t="s">
        <v>525</v>
      </c>
      <c r="B56" s="415"/>
      <c r="C56" s="415"/>
      <c r="D56" s="415"/>
      <c r="E56" s="415"/>
      <c r="F56" s="415"/>
      <c r="G56" s="415"/>
    </row>
    <row r="57" spans="1:7" s="2" customFormat="1" ht="15">
      <c r="A57" s="415" t="s">
        <v>526</v>
      </c>
      <c r="B57" s="415"/>
      <c r="C57" s="415"/>
      <c r="D57" s="415"/>
      <c r="E57" s="415"/>
      <c r="F57" s="415"/>
      <c r="G57" s="415"/>
    </row>
    <row r="58" spans="1:7" s="2" customFormat="1" ht="15">
      <c r="A58" s="415" t="s">
        <v>527</v>
      </c>
      <c r="B58" s="415"/>
      <c r="C58" s="415"/>
      <c r="D58" s="415"/>
      <c r="E58" s="415"/>
      <c r="F58" s="415"/>
      <c r="G58" s="415"/>
    </row>
    <row r="59" spans="1:7" s="2" customFormat="1" ht="15">
      <c r="A59" s="415" t="s">
        <v>528</v>
      </c>
      <c r="B59" s="415"/>
      <c r="C59" s="415"/>
      <c r="D59" s="415"/>
      <c r="E59" s="415"/>
      <c r="F59" s="415"/>
      <c r="G59" s="415"/>
    </row>
    <row r="60" spans="1:7" s="2" customFormat="1" ht="15">
      <c r="A60" s="441" t="s">
        <v>529</v>
      </c>
      <c r="B60" s="441"/>
      <c r="C60" s="441"/>
      <c r="D60" s="441"/>
      <c r="E60" s="441"/>
      <c r="F60" s="441"/>
      <c r="G60" s="441"/>
    </row>
    <row r="61" spans="1:7" s="2" customFormat="1" ht="29.25" customHeight="1">
      <c r="A61" s="440" t="s">
        <v>971</v>
      </c>
      <c r="B61" s="440"/>
      <c r="C61" s="440"/>
      <c r="D61" s="440"/>
      <c r="E61" s="440"/>
      <c r="F61" s="440"/>
      <c r="G61" s="440"/>
    </row>
    <row r="62" spans="1:7" s="2" customFormat="1" ht="15">
      <c r="A62" s="441" t="s">
        <v>972</v>
      </c>
      <c r="B62" s="441"/>
      <c r="C62" s="441"/>
      <c r="D62" s="441"/>
      <c r="E62" s="441"/>
      <c r="F62" s="441"/>
      <c r="G62" s="441"/>
    </row>
    <row r="63" spans="1:7" s="2" customFormat="1" ht="57" customHeight="1">
      <c r="A63" s="440" t="s">
        <v>974</v>
      </c>
      <c r="B63" s="440"/>
      <c r="C63" s="440"/>
      <c r="D63" s="440"/>
      <c r="E63" s="440"/>
      <c r="F63" s="440"/>
      <c r="G63" s="440"/>
    </row>
    <row r="64" spans="1:7" s="2" customFormat="1" ht="27.75" customHeight="1">
      <c r="A64" s="440" t="s">
        <v>973</v>
      </c>
      <c r="B64" s="440"/>
      <c r="C64" s="440"/>
      <c r="D64" s="440"/>
      <c r="E64" s="440"/>
      <c r="F64" s="440"/>
      <c r="G64" s="440"/>
    </row>
    <row r="65" spans="1:7" s="2" customFormat="1" ht="118.5" customHeight="1">
      <c r="A65" s="440" t="s">
        <v>975</v>
      </c>
      <c r="B65" s="440"/>
      <c r="C65" s="440"/>
      <c r="D65" s="440"/>
      <c r="E65" s="440"/>
      <c r="F65" s="440"/>
      <c r="G65" s="440"/>
    </row>
    <row r="66" spans="1:7" s="2" customFormat="1" ht="15">
      <c r="A66" s="440" t="s">
        <v>976</v>
      </c>
      <c r="B66" s="440"/>
      <c r="C66" s="440"/>
      <c r="D66" s="440"/>
      <c r="E66" s="440"/>
      <c r="F66" s="440"/>
      <c r="G66" s="440"/>
    </row>
    <row r="67" spans="1:7" s="2" customFormat="1" ht="28.5" customHeight="1">
      <c r="A67" s="440" t="s">
        <v>977</v>
      </c>
      <c r="B67" s="440"/>
      <c r="C67" s="440"/>
      <c r="D67" s="440"/>
      <c r="E67" s="440"/>
      <c r="F67" s="440"/>
      <c r="G67" s="440"/>
    </row>
    <row r="68" spans="1:7" s="2" customFormat="1" ht="15">
      <c r="A68" s="440" t="s">
        <v>1206</v>
      </c>
      <c r="B68" s="440"/>
      <c r="C68" s="440"/>
      <c r="D68" s="440"/>
      <c r="E68" s="440"/>
      <c r="F68" s="440"/>
      <c r="G68" s="440"/>
    </row>
    <row r="69" spans="1:7" s="2" customFormat="1" ht="15">
      <c r="A69" s="431" t="s">
        <v>1207</v>
      </c>
      <c r="B69" s="440"/>
      <c r="C69" s="440"/>
      <c r="D69" s="440"/>
      <c r="E69" s="440"/>
      <c r="F69" s="440"/>
      <c r="G69" s="440"/>
    </row>
    <row r="70" spans="1:7" s="2" customFormat="1" ht="57.75" customHeight="1">
      <c r="A70" s="440" t="s">
        <v>1208</v>
      </c>
      <c r="B70" s="440"/>
      <c r="C70" s="440"/>
      <c r="D70" s="440"/>
      <c r="E70" s="440"/>
      <c r="F70" s="440"/>
      <c r="G70" s="440"/>
    </row>
    <row r="71" spans="1:7" s="2" customFormat="1" ht="13.5" customHeight="1">
      <c r="A71" s="440" t="s">
        <v>1209</v>
      </c>
      <c r="B71" s="440"/>
      <c r="C71" s="440"/>
      <c r="D71" s="440"/>
      <c r="E71" s="440"/>
      <c r="F71" s="440"/>
      <c r="G71" s="440"/>
    </row>
    <row r="72" spans="1:7" s="2" customFormat="1" ht="15">
      <c r="A72" s="440" t="s">
        <v>1210</v>
      </c>
      <c r="B72" s="440"/>
      <c r="C72" s="440"/>
      <c r="D72" s="440"/>
      <c r="E72" s="440"/>
      <c r="F72" s="440"/>
      <c r="G72" s="440"/>
    </row>
    <row r="73" spans="1:7" s="2" customFormat="1" ht="15">
      <c r="A73" s="440" t="s">
        <v>1211</v>
      </c>
      <c r="B73" s="440"/>
      <c r="C73" s="440"/>
      <c r="D73" s="440"/>
      <c r="E73" s="440"/>
      <c r="F73" s="440"/>
      <c r="G73" s="440"/>
    </row>
    <row r="74" spans="1:7" s="2" customFormat="1" ht="46.5" customHeight="1" hidden="1">
      <c r="A74" s="440" t="s">
        <v>1380</v>
      </c>
      <c r="B74" s="440"/>
      <c r="C74" s="440"/>
      <c r="D74" s="440"/>
      <c r="E74" s="440"/>
      <c r="F74" s="440"/>
      <c r="G74" s="440"/>
    </row>
    <row r="75" spans="1:7" s="2" customFormat="1" ht="27.75" customHeight="1">
      <c r="A75" s="440" t="s">
        <v>1021</v>
      </c>
      <c r="B75" s="440"/>
      <c r="C75" s="440"/>
      <c r="D75" s="440"/>
      <c r="E75" s="440"/>
      <c r="F75" s="440"/>
      <c r="G75" s="440"/>
    </row>
    <row r="76" spans="1:7" s="2" customFormat="1" ht="57.75" customHeight="1">
      <c r="A76" s="440" t="s">
        <v>580</v>
      </c>
      <c r="B76" s="440"/>
      <c r="C76" s="440"/>
      <c r="D76" s="440"/>
      <c r="E76" s="440"/>
      <c r="F76" s="440"/>
      <c r="G76" s="440"/>
    </row>
    <row r="77" spans="1:7" s="2" customFormat="1" ht="15">
      <c r="A77" s="440" t="s">
        <v>581</v>
      </c>
      <c r="B77" s="440"/>
      <c r="C77" s="440"/>
      <c r="D77" s="440"/>
      <c r="E77" s="440"/>
      <c r="F77" s="440"/>
      <c r="G77" s="440"/>
    </row>
    <row r="78" spans="1:7" s="2" customFormat="1" ht="58.5" customHeight="1">
      <c r="A78" s="440" t="s">
        <v>582</v>
      </c>
      <c r="B78" s="440"/>
      <c r="C78" s="440"/>
      <c r="D78" s="440"/>
      <c r="E78" s="440"/>
      <c r="F78" s="440"/>
      <c r="G78" s="440"/>
    </row>
    <row r="79" spans="1:7" s="2" customFormat="1" ht="57.75" customHeight="1">
      <c r="A79" s="440" t="s">
        <v>583</v>
      </c>
      <c r="B79" s="440"/>
      <c r="C79" s="440"/>
      <c r="D79" s="440"/>
      <c r="E79" s="440"/>
      <c r="F79" s="440"/>
      <c r="G79" s="440"/>
    </row>
    <row r="80" spans="1:7" s="2" customFormat="1" ht="15">
      <c r="A80" s="440" t="s">
        <v>584</v>
      </c>
      <c r="B80" s="440"/>
      <c r="C80" s="440"/>
      <c r="D80" s="440"/>
      <c r="E80" s="440"/>
      <c r="F80" s="440"/>
      <c r="G80" s="440"/>
    </row>
    <row r="81" spans="1:7" s="2" customFormat="1" ht="30" customHeight="1">
      <c r="A81" s="442" t="s">
        <v>1026</v>
      </c>
      <c r="B81" s="442"/>
      <c r="C81" s="442"/>
      <c r="D81" s="442"/>
      <c r="E81" s="442"/>
      <c r="F81" s="442"/>
      <c r="G81" s="442"/>
    </row>
    <row r="82" spans="1:7" s="2" customFormat="1" ht="15">
      <c r="A82" s="439" t="s">
        <v>1027</v>
      </c>
      <c r="B82" s="439"/>
      <c r="C82" s="439"/>
      <c r="D82" s="439"/>
      <c r="E82" s="71"/>
      <c r="F82" s="76" t="s">
        <v>1121</v>
      </c>
      <c r="G82" s="76" t="s">
        <v>1120</v>
      </c>
    </row>
    <row r="83" spans="1:7" s="2" customFormat="1" ht="15">
      <c r="A83" s="439" t="s">
        <v>1028</v>
      </c>
      <c r="B83" s="439"/>
      <c r="C83" s="439"/>
      <c r="D83" s="439"/>
      <c r="E83" s="71"/>
      <c r="F83" s="94">
        <v>161898000</v>
      </c>
      <c r="G83" s="94">
        <v>164423125</v>
      </c>
    </row>
    <row r="84" spans="1:7" s="2" customFormat="1" ht="15">
      <c r="A84" s="475" t="s">
        <v>1029</v>
      </c>
      <c r="B84" s="439"/>
      <c r="C84" s="439"/>
      <c r="D84" s="439"/>
      <c r="E84" s="71"/>
      <c r="F84" s="94">
        <v>970862466</v>
      </c>
      <c r="G84" s="94">
        <v>811752538</v>
      </c>
    </row>
    <row r="85" spans="1:7" s="2" customFormat="1" ht="0.75" customHeight="1" hidden="1">
      <c r="A85" s="475" t="s">
        <v>1030</v>
      </c>
      <c r="B85" s="439"/>
      <c r="C85" s="439"/>
      <c r="D85" s="439"/>
      <c r="E85" s="71"/>
      <c r="F85" s="95"/>
      <c r="G85" s="95"/>
    </row>
    <row r="86" spans="1:7" s="2" customFormat="1" ht="15" hidden="1">
      <c r="A86" s="475" t="s">
        <v>1031</v>
      </c>
      <c r="B86" s="439"/>
      <c r="C86" s="439"/>
      <c r="D86" s="439"/>
      <c r="E86" s="71"/>
      <c r="F86" s="95"/>
      <c r="G86" s="95"/>
    </row>
    <row r="87" spans="1:7" s="1" customFormat="1" ht="15.75">
      <c r="A87" s="438" t="s">
        <v>1116</v>
      </c>
      <c r="B87" s="438"/>
      <c r="C87" s="438"/>
      <c r="D87" s="438"/>
      <c r="E87" s="72"/>
      <c r="F87" s="96">
        <f>+SUM(F83:F86)</f>
        <v>1132760466</v>
      </c>
      <c r="G87" s="96">
        <f>+SUM(G83:G86)</f>
        <v>976175663</v>
      </c>
    </row>
    <row r="88" spans="1:7" s="2" customFormat="1" ht="15">
      <c r="A88" s="439" t="s">
        <v>1032</v>
      </c>
      <c r="B88" s="439"/>
      <c r="C88" s="439"/>
      <c r="D88" s="439"/>
      <c r="E88" s="71"/>
      <c r="F88" s="76" t="s">
        <v>1121</v>
      </c>
      <c r="G88" s="76" t="s">
        <v>1120</v>
      </c>
    </row>
    <row r="89" spans="1:7" s="2" customFormat="1" ht="15">
      <c r="A89" s="439" t="s">
        <v>1033</v>
      </c>
      <c r="B89" s="439"/>
      <c r="C89" s="439"/>
      <c r="D89" s="439"/>
      <c r="E89" s="71"/>
      <c r="F89" s="94">
        <v>6741163478</v>
      </c>
      <c r="G89" s="94">
        <v>5691134792</v>
      </c>
    </row>
    <row r="90" spans="1:7" s="2" customFormat="1" ht="15">
      <c r="A90" s="439" t="s">
        <v>1123</v>
      </c>
      <c r="B90" s="439"/>
      <c r="C90" s="439"/>
      <c r="D90" s="439"/>
      <c r="E90" s="71"/>
      <c r="F90" s="94">
        <v>13070400</v>
      </c>
      <c r="G90" s="94">
        <v>167295900</v>
      </c>
    </row>
    <row r="91" spans="1:7" s="2" customFormat="1" ht="15" hidden="1">
      <c r="A91" s="439" t="s">
        <v>1124</v>
      </c>
      <c r="B91" s="439"/>
      <c r="C91" s="439"/>
      <c r="D91" s="439"/>
      <c r="E91" s="71"/>
      <c r="F91" s="94"/>
      <c r="G91" s="97"/>
    </row>
    <row r="92" spans="1:7" s="2" customFormat="1" ht="35.25" customHeight="1" hidden="1">
      <c r="A92" s="439" t="s">
        <v>1034</v>
      </c>
      <c r="B92" s="439"/>
      <c r="C92" s="439"/>
      <c r="D92" s="439"/>
      <c r="E92" s="71"/>
      <c r="F92" s="94"/>
      <c r="G92" s="97"/>
    </row>
    <row r="93" spans="1:7" s="2" customFormat="1" ht="15">
      <c r="A93" s="439" t="s">
        <v>1035</v>
      </c>
      <c r="B93" s="439"/>
      <c r="C93" s="439"/>
      <c r="D93" s="439"/>
      <c r="E93" s="71"/>
      <c r="F93" s="94">
        <f>+SUM(F94:F97)</f>
        <v>120903911</v>
      </c>
      <c r="G93" s="94">
        <f>+SUM(G94:G97)</f>
        <v>351271095</v>
      </c>
    </row>
    <row r="94" spans="1:7" s="2" customFormat="1" ht="15">
      <c r="A94" s="439" t="s">
        <v>1036</v>
      </c>
      <c r="B94" s="439"/>
      <c r="C94" s="439"/>
      <c r="D94" s="439"/>
      <c r="E94" s="71"/>
      <c r="F94" s="94">
        <v>47675882</v>
      </c>
      <c r="G94" s="94">
        <v>118113095</v>
      </c>
    </row>
    <row r="95" spans="1:7" s="2" customFormat="1" ht="15" hidden="1">
      <c r="A95" s="439" t="s">
        <v>1037</v>
      </c>
      <c r="B95" s="439"/>
      <c r="C95" s="439"/>
      <c r="D95" s="439"/>
      <c r="E95" s="71"/>
      <c r="F95" s="94"/>
      <c r="G95" s="94"/>
    </row>
    <row r="96" spans="1:7" s="2" customFormat="1" ht="15">
      <c r="A96" s="439" t="s">
        <v>1038</v>
      </c>
      <c r="B96" s="439"/>
      <c r="C96" s="439"/>
      <c r="D96" s="439"/>
      <c r="E96" s="71"/>
      <c r="F96" s="94">
        <v>30000000</v>
      </c>
      <c r="G96" s="94"/>
    </row>
    <row r="97" spans="1:7" s="2" customFormat="1" ht="15">
      <c r="A97" s="439" t="s">
        <v>1039</v>
      </c>
      <c r="B97" s="439"/>
      <c r="C97" s="439"/>
      <c r="D97" s="439"/>
      <c r="E97" s="71"/>
      <c r="F97" s="94">
        <v>43228029</v>
      </c>
      <c r="G97" s="94">
        <v>233158000</v>
      </c>
    </row>
    <row r="98" spans="1:7" s="2" customFormat="1" ht="15">
      <c r="A98" s="439" t="s">
        <v>1040</v>
      </c>
      <c r="B98" s="439"/>
      <c r="C98" s="439"/>
      <c r="D98" s="439"/>
      <c r="E98" s="71"/>
      <c r="F98" s="94">
        <v>-661209000</v>
      </c>
      <c r="G98" s="94">
        <v>-400000000</v>
      </c>
    </row>
    <row r="99" spans="1:7" s="2" customFormat="1" ht="22.5" customHeight="1" hidden="1">
      <c r="A99" s="439" t="s">
        <v>1041</v>
      </c>
      <c r="B99" s="439"/>
      <c r="C99" s="439"/>
      <c r="D99" s="439"/>
      <c r="E99" s="71"/>
      <c r="F99" s="94"/>
      <c r="G99" s="97"/>
    </row>
    <row r="100" spans="1:7" s="2" customFormat="1" ht="15.75">
      <c r="A100" s="438" t="s">
        <v>1116</v>
      </c>
      <c r="B100" s="438"/>
      <c r="C100" s="438"/>
      <c r="D100" s="438"/>
      <c r="E100" s="71"/>
      <c r="F100" s="96">
        <f>+SUM(F89:F93)+F98+F99</f>
        <v>6213928789</v>
      </c>
      <c r="G100" s="96">
        <f>+SUM(G89:G93)+G98+G99</f>
        <v>5809701787</v>
      </c>
    </row>
    <row r="101" spans="1:7" s="2" customFormat="1" ht="15">
      <c r="A101" s="439" t="s">
        <v>1042</v>
      </c>
      <c r="B101" s="439"/>
      <c r="C101" s="439"/>
      <c r="D101" s="439"/>
      <c r="E101" s="71"/>
      <c r="F101" s="76" t="s">
        <v>1121</v>
      </c>
      <c r="G101" s="76" t="s">
        <v>1120</v>
      </c>
    </row>
    <row r="102" spans="1:7" s="2" customFormat="1" ht="15">
      <c r="A102" s="439" t="s">
        <v>1043</v>
      </c>
      <c r="B102" s="439"/>
      <c r="C102" s="439"/>
      <c r="D102" s="439"/>
      <c r="E102" s="71"/>
      <c r="F102" s="94">
        <v>704741863</v>
      </c>
      <c r="G102" s="94"/>
    </row>
    <row r="103" spans="1:7" s="2" customFormat="1" ht="15">
      <c r="A103" s="439" t="s">
        <v>1044</v>
      </c>
      <c r="B103" s="439"/>
      <c r="C103" s="439"/>
      <c r="D103" s="439"/>
      <c r="E103" s="71"/>
      <c r="F103" s="94">
        <v>7325631</v>
      </c>
      <c r="G103" s="94">
        <v>6217300</v>
      </c>
    </row>
    <row r="104" spans="1:7" s="2" customFormat="1" ht="15">
      <c r="A104" s="439" t="s">
        <v>1045</v>
      </c>
      <c r="B104" s="439"/>
      <c r="C104" s="439"/>
      <c r="D104" s="439"/>
      <c r="E104" s="71"/>
      <c r="F104" s="94">
        <v>34515225</v>
      </c>
      <c r="G104" s="94">
        <v>27981292</v>
      </c>
    </row>
    <row r="105" spans="1:7" s="2" customFormat="1" ht="15">
      <c r="A105" s="439" t="s">
        <v>1046</v>
      </c>
      <c r="B105" s="439"/>
      <c r="C105" s="439"/>
      <c r="D105" s="439"/>
      <c r="E105" s="71"/>
      <c r="F105" s="94">
        <v>149235838</v>
      </c>
      <c r="G105" s="94">
        <v>448057742</v>
      </c>
    </row>
    <row r="106" spans="1:7" s="2" customFormat="1" ht="0.75" customHeight="1" hidden="1">
      <c r="A106" s="439" t="s">
        <v>1047</v>
      </c>
      <c r="B106" s="439"/>
      <c r="C106" s="439"/>
      <c r="D106" s="439"/>
      <c r="E106" s="71"/>
      <c r="F106" s="98"/>
      <c r="G106" s="94"/>
    </row>
    <row r="107" spans="1:7" s="2" customFormat="1" ht="15">
      <c r="A107" s="439" t="s">
        <v>1048</v>
      </c>
      <c r="B107" s="439"/>
      <c r="C107" s="439"/>
      <c r="D107" s="439"/>
      <c r="E107" s="71"/>
      <c r="F107" s="94">
        <v>680648161</v>
      </c>
      <c r="G107" s="94">
        <v>1703385548</v>
      </c>
    </row>
    <row r="108" spans="1:7" s="2" customFormat="1" ht="15">
      <c r="A108" s="475" t="s">
        <v>1049</v>
      </c>
      <c r="B108" s="439"/>
      <c r="C108" s="439"/>
      <c r="D108" s="439"/>
      <c r="E108" s="71"/>
      <c r="F108" s="98"/>
      <c r="G108" s="98"/>
    </row>
    <row r="109" spans="1:7" s="2" customFormat="1" ht="15" customHeight="1">
      <c r="A109" s="438" t="s">
        <v>1050</v>
      </c>
      <c r="B109" s="438"/>
      <c r="C109" s="438"/>
      <c r="D109" s="438"/>
      <c r="E109" s="71"/>
      <c r="F109" s="96">
        <f>+SUM(F102:F108)</f>
        <v>1576466718</v>
      </c>
      <c r="G109" s="96">
        <f>+SUM(G102:G108)</f>
        <v>2185641882</v>
      </c>
    </row>
    <row r="110" spans="1:7" s="2" customFormat="1" ht="15.75" hidden="1">
      <c r="A110" s="475" t="s">
        <v>1051</v>
      </c>
      <c r="B110" s="439"/>
      <c r="C110" s="439"/>
      <c r="D110" s="439"/>
      <c r="E110" s="71"/>
      <c r="F110" s="78"/>
      <c r="G110" s="78"/>
    </row>
    <row r="111" spans="1:7" s="2" customFormat="1" ht="30.75" customHeight="1" hidden="1">
      <c r="A111" s="475" t="s">
        <v>1052</v>
      </c>
      <c r="B111" s="439"/>
      <c r="C111" s="439"/>
      <c r="D111" s="439"/>
      <c r="E111" s="71"/>
      <c r="F111" s="78"/>
      <c r="G111" s="78"/>
    </row>
    <row r="112" spans="1:7" s="2" customFormat="1" ht="16.5" customHeight="1" hidden="1">
      <c r="A112" s="483" t="s">
        <v>1053</v>
      </c>
      <c r="B112" s="483"/>
      <c r="C112" s="483"/>
      <c r="D112" s="483"/>
      <c r="E112" s="483"/>
      <c r="F112" s="78"/>
      <c r="G112" s="78"/>
    </row>
    <row r="113" spans="1:7" s="2" customFormat="1" ht="15.75" hidden="1">
      <c r="A113" s="483" t="s">
        <v>1054</v>
      </c>
      <c r="B113" s="483"/>
      <c r="C113" s="483"/>
      <c r="D113" s="483"/>
      <c r="E113" s="483"/>
      <c r="F113" s="78"/>
      <c r="G113" s="78"/>
    </row>
    <row r="114" spans="1:7" s="2" customFormat="1" ht="29.25" customHeight="1" hidden="1">
      <c r="A114" s="483" t="s">
        <v>1055</v>
      </c>
      <c r="B114" s="483"/>
      <c r="C114" s="483"/>
      <c r="D114" s="483"/>
      <c r="E114" s="483"/>
      <c r="F114" s="78"/>
      <c r="G114" s="78"/>
    </row>
    <row r="115" spans="1:7" s="2" customFormat="1" ht="15">
      <c r="A115" s="439" t="s">
        <v>1056</v>
      </c>
      <c r="B115" s="439"/>
      <c r="C115" s="439"/>
      <c r="D115" s="439"/>
      <c r="E115" s="79"/>
      <c r="F115" s="76" t="s">
        <v>1121</v>
      </c>
      <c r="G115" s="76" t="s">
        <v>1120</v>
      </c>
    </row>
    <row r="116" spans="1:7" s="2" customFormat="1" ht="15">
      <c r="A116" s="483" t="s">
        <v>1057</v>
      </c>
      <c r="B116" s="483"/>
      <c r="C116" s="483"/>
      <c r="D116" s="483"/>
      <c r="E116" s="483"/>
      <c r="F116" s="94"/>
      <c r="G116" s="94">
        <v>105639968</v>
      </c>
    </row>
    <row r="117" spans="1:7" s="2" customFormat="1" ht="15">
      <c r="A117" s="483" t="s">
        <v>1058</v>
      </c>
      <c r="B117" s="483"/>
      <c r="C117" s="483"/>
      <c r="D117" s="483"/>
      <c r="E117" s="483"/>
      <c r="F117" s="94"/>
      <c r="G117" s="94"/>
    </row>
    <row r="118" spans="1:7" s="2" customFormat="1" ht="15.75" hidden="1">
      <c r="A118" s="483" t="s">
        <v>1059</v>
      </c>
      <c r="B118" s="483"/>
      <c r="C118" s="483"/>
      <c r="D118" s="483"/>
      <c r="E118" s="483"/>
      <c r="F118" s="78"/>
      <c r="G118" s="78"/>
    </row>
    <row r="119" spans="1:7" s="2" customFormat="1" ht="15.75" hidden="1">
      <c r="A119" s="79" t="s">
        <v>1060</v>
      </c>
      <c r="B119" s="79"/>
      <c r="C119" s="79"/>
      <c r="D119" s="79"/>
      <c r="E119" s="79"/>
      <c r="F119" s="78"/>
      <c r="G119" s="78"/>
    </row>
    <row r="120" spans="1:7" s="2" customFormat="1" ht="15.75">
      <c r="A120" s="438" t="s">
        <v>1116</v>
      </c>
      <c r="B120" s="438"/>
      <c r="C120" s="438"/>
      <c r="D120" s="438"/>
      <c r="E120" s="79"/>
      <c r="F120" s="98">
        <f>+SUM(F116:F119)</f>
        <v>0</v>
      </c>
      <c r="G120" s="96">
        <f>+SUM(G116:G119)</f>
        <v>105639968</v>
      </c>
    </row>
    <row r="121" spans="1:7" s="2" customFormat="1" ht="15">
      <c r="A121" s="439" t="s">
        <v>1061</v>
      </c>
      <c r="B121" s="439"/>
      <c r="C121" s="439"/>
      <c r="D121" s="439"/>
      <c r="E121" s="79"/>
      <c r="F121" s="76" t="s">
        <v>1121</v>
      </c>
      <c r="G121" s="76" t="s">
        <v>1120</v>
      </c>
    </row>
    <row r="122" spans="1:8" s="2" customFormat="1" ht="15">
      <c r="A122" s="483" t="s">
        <v>1062</v>
      </c>
      <c r="B122" s="483"/>
      <c r="C122" s="483"/>
      <c r="D122" s="483"/>
      <c r="E122" s="483"/>
      <c r="F122" s="94">
        <v>177479106</v>
      </c>
      <c r="G122" s="94">
        <v>438688106</v>
      </c>
      <c r="H122" s="13"/>
    </row>
    <row r="123" spans="1:7" s="2" customFormat="1" ht="15" hidden="1">
      <c r="A123" s="483" t="s">
        <v>1063</v>
      </c>
      <c r="B123" s="483"/>
      <c r="C123" s="483"/>
      <c r="D123" s="483"/>
      <c r="E123" s="483"/>
      <c r="F123" s="94"/>
      <c r="G123" s="94"/>
    </row>
    <row r="124" spans="1:7" s="2" customFormat="1" ht="15" hidden="1">
      <c r="A124" s="483" t="s">
        <v>1064</v>
      </c>
      <c r="B124" s="483"/>
      <c r="C124" s="483"/>
      <c r="D124" s="483"/>
      <c r="E124" s="483"/>
      <c r="F124" s="94"/>
      <c r="G124" s="94"/>
    </row>
    <row r="125" spans="1:7" s="2" customFormat="1" ht="15" hidden="1">
      <c r="A125" s="483" t="s">
        <v>1065</v>
      </c>
      <c r="B125" s="483"/>
      <c r="C125" s="483"/>
      <c r="D125" s="483"/>
      <c r="E125" s="483"/>
      <c r="F125" s="94"/>
      <c r="G125" s="94"/>
    </row>
    <row r="126" spans="1:7" s="2" customFormat="1" ht="15" hidden="1">
      <c r="A126" s="483" t="s">
        <v>1066</v>
      </c>
      <c r="B126" s="483"/>
      <c r="C126" s="483"/>
      <c r="D126" s="483"/>
      <c r="E126" s="483"/>
      <c r="F126" s="94"/>
      <c r="G126" s="94"/>
    </row>
    <row r="127" spans="1:7" s="2" customFormat="1" ht="15">
      <c r="A127" s="483" t="s">
        <v>1067</v>
      </c>
      <c r="B127" s="483"/>
      <c r="C127" s="483"/>
      <c r="D127" s="483"/>
      <c r="E127" s="483"/>
      <c r="F127" s="94">
        <v>105123672</v>
      </c>
      <c r="G127" s="94">
        <v>205002000</v>
      </c>
    </row>
    <row r="128" spans="1:7" s="2" customFormat="1" ht="15" hidden="1">
      <c r="A128" s="483" t="s">
        <v>1068</v>
      </c>
      <c r="B128" s="483"/>
      <c r="C128" s="483"/>
      <c r="D128" s="483"/>
      <c r="E128" s="483"/>
      <c r="F128" s="94"/>
      <c r="G128" s="94"/>
    </row>
    <row r="129" spans="1:7" s="2" customFormat="1" ht="15" hidden="1">
      <c r="A129" s="483" t="s">
        <v>136</v>
      </c>
      <c r="B129" s="483"/>
      <c r="C129" s="483"/>
      <c r="D129" s="483"/>
      <c r="E129" s="483"/>
      <c r="F129" s="94"/>
      <c r="G129" s="94"/>
    </row>
    <row r="130" spans="1:7" s="2" customFormat="1" ht="15.75">
      <c r="A130" s="438" t="s">
        <v>1116</v>
      </c>
      <c r="B130" s="438"/>
      <c r="C130" s="438"/>
      <c r="D130" s="438"/>
      <c r="E130" s="80"/>
      <c r="F130" s="96">
        <f>+SUM(F122:F129)</f>
        <v>282602778</v>
      </c>
      <c r="G130" s="96">
        <f>+SUM(G122:G129)</f>
        <v>643690106</v>
      </c>
    </row>
    <row r="131" spans="1:7" s="2" customFormat="1" ht="15.75" hidden="1">
      <c r="A131" s="77"/>
      <c r="B131" s="77"/>
      <c r="C131" s="77"/>
      <c r="D131" s="77"/>
      <c r="E131" s="80"/>
      <c r="F131" s="64"/>
      <c r="G131" s="78"/>
    </row>
    <row r="132" spans="1:7" s="2" customFormat="1" ht="15.75">
      <c r="A132" s="482" t="s">
        <v>137</v>
      </c>
      <c r="B132" s="482"/>
      <c r="C132" s="482"/>
      <c r="D132" s="482"/>
      <c r="E132" s="80"/>
      <c r="F132" s="78"/>
      <c r="G132" s="10"/>
    </row>
    <row r="133" spans="1:7" s="2" customFormat="1" ht="15.75">
      <c r="A133" s="29"/>
      <c r="B133" s="10"/>
      <c r="C133" s="10"/>
      <c r="D133" s="10"/>
      <c r="E133" s="10"/>
      <c r="F133" s="10"/>
      <c r="G133" s="82"/>
    </row>
    <row r="134" spans="1:7" s="70" customFormat="1" ht="12.75">
      <c r="A134" s="422" t="s">
        <v>138</v>
      </c>
      <c r="B134" s="423"/>
      <c r="C134" s="424"/>
      <c r="D134" s="66" t="s">
        <v>1110</v>
      </c>
      <c r="E134" s="66" t="s">
        <v>1216</v>
      </c>
      <c r="F134" s="66" t="s">
        <v>1215</v>
      </c>
      <c r="G134" s="428" t="s">
        <v>1119</v>
      </c>
    </row>
    <row r="135" spans="1:7" s="70" customFormat="1" ht="12.75">
      <c r="A135" s="425"/>
      <c r="B135" s="426"/>
      <c r="C135" s="427"/>
      <c r="D135" s="67" t="s">
        <v>1111</v>
      </c>
      <c r="E135" s="67" t="s">
        <v>1217</v>
      </c>
      <c r="F135" s="67" t="s">
        <v>1214</v>
      </c>
      <c r="G135" s="414"/>
    </row>
    <row r="136" spans="1:7" s="70" customFormat="1" ht="12.75">
      <c r="A136" s="416" t="s">
        <v>1118</v>
      </c>
      <c r="B136" s="417"/>
      <c r="C136" s="418"/>
      <c r="D136" s="69">
        <v>1</v>
      </c>
      <c r="E136" s="69">
        <v>2</v>
      </c>
      <c r="F136" s="69">
        <v>3</v>
      </c>
      <c r="G136" s="68" t="s">
        <v>657</v>
      </c>
    </row>
    <row r="137" spans="1:7" s="2" customFormat="1" ht="15.75">
      <c r="A137" s="30" t="s">
        <v>139</v>
      </c>
      <c r="B137" s="31"/>
      <c r="C137" s="31"/>
      <c r="D137" s="11"/>
      <c r="E137" s="11"/>
      <c r="F137" s="11"/>
      <c r="G137" s="32"/>
    </row>
    <row r="138" spans="1:15" s="2" customFormat="1" ht="15">
      <c r="A138" s="443" t="s">
        <v>160</v>
      </c>
      <c r="B138" s="429"/>
      <c r="C138" s="430"/>
      <c r="D138" s="99">
        <v>0</v>
      </c>
      <c r="E138" s="99">
        <f>1681133837-204651762+394673086</f>
        <v>1871155161</v>
      </c>
      <c r="F138" s="100">
        <f>2150143587-1871155161</f>
        <v>278988426</v>
      </c>
      <c r="G138" s="101">
        <f>+F138+E138+D138</f>
        <v>2150143587</v>
      </c>
      <c r="I138" s="440"/>
      <c r="J138" s="440"/>
      <c r="K138" s="440"/>
      <c r="L138" s="440"/>
      <c r="M138" s="440"/>
      <c r="N138" s="440"/>
      <c r="O138" s="440"/>
    </row>
    <row r="139" spans="1:7" s="2" customFormat="1" ht="15">
      <c r="A139" s="34" t="s">
        <v>140</v>
      </c>
      <c r="B139" s="33"/>
      <c r="C139" s="33"/>
      <c r="D139" s="9"/>
      <c r="E139" s="9">
        <v>204651762</v>
      </c>
      <c r="F139" s="9">
        <v>16518182</v>
      </c>
      <c r="G139" s="101">
        <f aca="true" t="shared" si="0" ref="G139:G153">+F139+E139+D139</f>
        <v>221169944</v>
      </c>
    </row>
    <row r="140" spans="1:7" s="2" customFormat="1" ht="15">
      <c r="A140" s="34" t="s">
        <v>141</v>
      </c>
      <c r="B140" s="33"/>
      <c r="C140" s="33"/>
      <c r="D140" s="9"/>
      <c r="E140" s="9"/>
      <c r="F140" s="9"/>
      <c r="G140" s="101">
        <f t="shared" si="0"/>
        <v>0</v>
      </c>
    </row>
    <row r="141" spans="1:9" s="2" customFormat="1" ht="15">
      <c r="A141" s="34" t="s">
        <v>142</v>
      </c>
      <c r="B141" s="33"/>
      <c r="C141" s="33"/>
      <c r="D141" s="9"/>
      <c r="E141" s="9"/>
      <c r="F141" s="9"/>
      <c r="G141" s="101">
        <f t="shared" si="0"/>
        <v>0</v>
      </c>
      <c r="I141" s="2" t="s">
        <v>1142</v>
      </c>
    </row>
    <row r="142" spans="1:7" s="2" customFormat="1" ht="15">
      <c r="A142" s="34" t="s">
        <v>143</v>
      </c>
      <c r="B142" s="33"/>
      <c r="C142" s="33"/>
      <c r="D142" s="9"/>
      <c r="E142" s="9"/>
      <c r="F142" s="9"/>
      <c r="G142" s="101">
        <f t="shared" si="0"/>
        <v>0</v>
      </c>
    </row>
    <row r="143" spans="1:9" s="2" customFormat="1" ht="15">
      <c r="A143" s="34" t="s">
        <v>144</v>
      </c>
      <c r="B143" s="33"/>
      <c r="C143" s="33"/>
      <c r="D143" s="9"/>
      <c r="E143" s="9"/>
      <c r="F143" s="9">
        <v>87368030</v>
      </c>
      <c r="G143" s="101">
        <f t="shared" si="0"/>
        <v>87368030</v>
      </c>
      <c r="I143" s="20">
        <f>83000+44080693</f>
        <v>44163693</v>
      </c>
    </row>
    <row r="144" spans="1:9" s="2" customFormat="1" ht="15">
      <c r="A144" s="34" t="s">
        <v>145</v>
      </c>
      <c r="B144" s="33"/>
      <c r="C144" s="33"/>
      <c r="D144" s="9"/>
      <c r="E144" s="9"/>
      <c r="F144" s="9"/>
      <c r="G144" s="101">
        <f t="shared" si="0"/>
        <v>0</v>
      </c>
      <c r="I144" s="20">
        <f>I147-G147</f>
        <v>279979246</v>
      </c>
    </row>
    <row r="145" spans="1:9" s="2" customFormat="1" ht="15">
      <c r="A145" s="443" t="s">
        <v>146</v>
      </c>
      <c r="B145" s="429"/>
      <c r="C145" s="430"/>
      <c r="D145" s="9">
        <f>+D138+D139+D140+D141-D142-D143-D144</f>
        <v>0</v>
      </c>
      <c r="E145" s="9">
        <f>+E138+E139+E140+E141-E142-E143-E144</f>
        <v>2075806923</v>
      </c>
      <c r="F145" s="9">
        <f>+F138+F139+F140+F141-F142-F143-F144</f>
        <v>208138578</v>
      </c>
      <c r="G145" s="9">
        <f>+G138+G139+G140+G141-G142-G143-G144</f>
        <v>2283945501</v>
      </c>
      <c r="I145" s="20"/>
    </row>
    <row r="146" spans="1:9" s="2" customFormat="1" ht="15.75">
      <c r="A146" s="472" t="s">
        <v>147</v>
      </c>
      <c r="B146" s="473"/>
      <c r="C146" s="474"/>
      <c r="D146" s="9"/>
      <c r="E146" s="9"/>
      <c r="F146" s="9"/>
      <c r="G146" s="101"/>
      <c r="I146" s="20"/>
    </row>
    <row r="147" spans="1:9" s="1" customFormat="1" ht="15.75">
      <c r="A147" s="443" t="s">
        <v>160</v>
      </c>
      <c r="B147" s="429"/>
      <c r="C147" s="430"/>
      <c r="D147" s="99"/>
      <c r="E147" s="99">
        <v>226690739</v>
      </c>
      <c r="F147" s="99">
        <f>348383847-226690739</f>
        <v>121693108</v>
      </c>
      <c r="G147" s="101">
        <f t="shared" si="0"/>
        <v>348383847</v>
      </c>
      <c r="I147" s="20">
        <f>628363093</f>
        <v>628363093</v>
      </c>
    </row>
    <row r="148" spans="1:9" s="1" customFormat="1" ht="15.75">
      <c r="A148" s="34" t="s">
        <v>148</v>
      </c>
      <c r="B148" s="33"/>
      <c r="C148" s="33"/>
      <c r="D148" s="9"/>
      <c r="E148" s="9">
        <f>5482000*12+251765076</f>
        <v>317549076</v>
      </c>
      <c r="F148" s="9">
        <f>127736598-5482000*12</f>
        <v>61952598</v>
      </c>
      <c r="G148" s="101">
        <f t="shared" si="0"/>
        <v>379501674</v>
      </c>
      <c r="I148" s="20"/>
    </row>
    <row r="149" spans="1:9" s="1" customFormat="1" ht="15.75">
      <c r="A149" s="34" t="s">
        <v>143</v>
      </c>
      <c r="B149" s="33"/>
      <c r="C149" s="33"/>
      <c r="D149" s="100"/>
      <c r="E149" s="100"/>
      <c r="F149" s="9"/>
      <c r="G149" s="101">
        <f t="shared" si="0"/>
        <v>0</v>
      </c>
      <c r="I149" s="20"/>
    </row>
    <row r="150" spans="1:9" s="1" customFormat="1" ht="15.75">
      <c r="A150" s="34" t="s">
        <v>144</v>
      </c>
      <c r="B150" s="33"/>
      <c r="C150" s="33"/>
      <c r="D150" s="100"/>
      <c r="E150" s="100"/>
      <c r="F150" s="100">
        <v>61815500</v>
      </c>
      <c r="G150" s="101">
        <f t="shared" si="0"/>
        <v>61815500</v>
      </c>
      <c r="I150" s="20"/>
    </row>
    <row r="151" spans="1:9" s="1" customFormat="1" ht="15.75">
      <c r="A151" s="34" t="s">
        <v>145</v>
      </c>
      <c r="B151" s="33"/>
      <c r="C151" s="33"/>
      <c r="D151" s="100"/>
      <c r="E151" s="100"/>
      <c r="F151" s="9"/>
      <c r="G151" s="101">
        <f t="shared" si="0"/>
        <v>0</v>
      </c>
      <c r="I151" s="20"/>
    </row>
    <row r="152" spans="1:9" s="1" customFormat="1" ht="18.75" customHeight="1">
      <c r="A152" s="443" t="s">
        <v>146</v>
      </c>
      <c r="B152" s="429"/>
      <c r="C152" s="430"/>
      <c r="D152" s="100">
        <f>+D147+D148-D149-D150-D151</f>
        <v>0</v>
      </c>
      <c r="E152" s="100">
        <f>+E147+E148-E149-E150-E151</f>
        <v>544239815</v>
      </c>
      <c r="F152" s="100">
        <f>+F147+F148-F149-F150-F151</f>
        <v>121830206</v>
      </c>
      <c r="G152" s="100">
        <f>+G147+G148-G149-G150-G151</f>
        <v>666070021</v>
      </c>
      <c r="I152" s="20"/>
    </row>
    <row r="153" spans="1:9" s="1" customFormat="1" ht="15.75">
      <c r="A153" s="35" t="s">
        <v>149</v>
      </c>
      <c r="B153" s="33"/>
      <c r="C153" s="33"/>
      <c r="D153" s="102"/>
      <c r="E153" s="102"/>
      <c r="F153" s="102"/>
      <c r="G153" s="101">
        <f t="shared" si="0"/>
        <v>0</v>
      </c>
      <c r="I153" s="20"/>
    </row>
    <row r="154" spans="1:9" s="1" customFormat="1" ht="18.75" customHeight="1">
      <c r="A154" s="34" t="s">
        <v>150</v>
      </c>
      <c r="B154" s="33"/>
      <c r="C154" s="33"/>
      <c r="D154" s="100">
        <v>0</v>
      </c>
      <c r="E154" s="100">
        <f>+E138-E147</f>
        <v>1644464422</v>
      </c>
      <c r="F154" s="100">
        <f>+F138-F147</f>
        <v>157295318</v>
      </c>
      <c r="G154" s="100">
        <f>+G138-G147</f>
        <v>1801759740</v>
      </c>
      <c r="I154" s="20"/>
    </row>
    <row r="155" spans="1:7" s="1" customFormat="1" ht="18.75" customHeight="1">
      <c r="A155" s="36" t="s">
        <v>153</v>
      </c>
      <c r="B155" s="37"/>
      <c r="C155" s="37"/>
      <c r="D155" s="103"/>
      <c r="E155" s="103">
        <f>+E145-E152</f>
        <v>1531567108</v>
      </c>
      <c r="F155" s="103">
        <f>+F145-F152</f>
        <v>86308372</v>
      </c>
      <c r="G155" s="103">
        <f>+G145-G152</f>
        <v>1617875480</v>
      </c>
    </row>
    <row r="156" spans="1:7" s="1" customFormat="1" ht="15.75">
      <c r="A156" s="51"/>
      <c r="B156" s="19"/>
      <c r="C156" s="19"/>
      <c r="D156" s="19"/>
      <c r="E156" s="19"/>
      <c r="F156" s="19"/>
      <c r="G156" s="19"/>
    </row>
    <row r="157" spans="1:7" s="1" customFormat="1" ht="15.75">
      <c r="A157" s="10" t="s">
        <v>154</v>
      </c>
      <c r="B157" s="38"/>
      <c r="C157" s="38"/>
      <c r="D157" s="38"/>
      <c r="E157" s="38"/>
      <c r="F157" s="38"/>
      <c r="G157" s="104">
        <f>+G155</f>
        <v>1617875480</v>
      </c>
    </row>
    <row r="158" spans="1:7" s="1" customFormat="1" ht="15.75">
      <c r="A158" s="481" t="s">
        <v>155</v>
      </c>
      <c r="B158" s="481"/>
      <c r="C158" s="481"/>
      <c r="D158" s="481"/>
      <c r="E158" s="481"/>
      <c r="F158" s="18"/>
      <c r="G158" s="18"/>
    </row>
    <row r="159" spans="1:7" s="1" customFormat="1" ht="15.75">
      <c r="A159" s="481" t="s">
        <v>156</v>
      </c>
      <c r="B159" s="481"/>
      <c r="C159" s="481"/>
      <c r="D159" s="481"/>
      <c r="E159" s="8"/>
      <c r="F159" s="7"/>
      <c r="G159" s="20"/>
    </row>
    <row r="160" spans="1:7" s="1" customFormat="1" ht="15.75">
      <c r="A160" s="481" t="s">
        <v>157</v>
      </c>
      <c r="B160" s="481"/>
      <c r="C160" s="481"/>
      <c r="D160" s="481"/>
      <c r="E160" s="481"/>
      <c r="F160" s="481"/>
      <c r="G160" s="21"/>
    </row>
    <row r="161" spans="1:7" s="1" customFormat="1" ht="15.75">
      <c r="A161" s="18"/>
      <c r="B161" s="18"/>
      <c r="C161" s="18"/>
      <c r="D161" s="18"/>
      <c r="E161" s="18"/>
      <c r="F161" s="18"/>
      <c r="G161" s="21"/>
    </row>
    <row r="162" spans="1:7" s="1" customFormat="1" ht="15.75">
      <c r="A162" s="482" t="s">
        <v>158</v>
      </c>
      <c r="B162" s="482"/>
      <c r="C162" s="482"/>
      <c r="D162" s="482"/>
      <c r="E162" s="15"/>
      <c r="F162" s="28"/>
      <c r="G162" s="21"/>
    </row>
    <row r="163" spans="1:7" s="1" customFormat="1" ht="15.75">
      <c r="A163" s="81"/>
      <c r="B163" s="81"/>
      <c r="C163" s="81"/>
      <c r="D163" s="81"/>
      <c r="E163" s="15"/>
      <c r="F163" s="28"/>
      <c r="G163" s="21"/>
    </row>
    <row r="164" spans="1:8" s="1" customFormat="1" ht="15.75">
      <c r="A164" s="422" t="s">
        <v>138</v>
      </c>
      <c r="B164" s="423"/>
      <c r="C164" s="424"/>
      <c r="D164" s="66" t="s">
        <v>1110</v>
      </c>
      <c r="E164" s="66" t="s">
        <v>1216</v>
      </c>
      <c r="F164" s="66" t="s">
        <v>1215</v>
      </c>
      <c r="G164" s="428" t="s">
        <v>1119</v>
      </c>
      <c r="H164" s="87"/>
    </row>
    <row r="165" spans="1:9" s="2" customFormat="1" ht="15">
      <c r="A165" s="425"/>
      <c r="B165" s="426"/>
      <c r="C165" s="427"/>
      <c r="D165" s="67" t="s">
        <v>1111</v>
      </c>
      <c r="E165" s="67" t="s">
        <v>1217</v>
      </c>
      <c r="F165" s="67" t="s">
        <v>1214</v>
      </c>
      <c r="G165" s="414"/>
      <c r="H165" s="70"/>
      <c r="I165" s="10"/>
    </row>
    <row r="166" spans="1:8" s="2" customFormat="1" ht="15">
      <c r="A166" s="416" t="s">
        <v>1118</v>
      </c>
      <c r="B166" s="417"/>
      <c r="C166" s="418"/>
      <c r="D166" s="69">
        <v>1</v>
      </c>
      <c r="E166" s="69">
        <v>2</v>
      </c>
      <c r="F166" s="69">
        <v>3</v>
      </c>
      <c r="G166" s="68" t="s">
        <v>657</v>
      </c>
      <c r="H166" s="70"/>
    </row>
    <row r="167" spans="1:7" s="2" customFormat="1" ht="15.75">
      <c r="A167" s="30" t="s">
        <v>159</v>
      </c>
      <c r="B167" s="31"/>
      <c r="C167" s="31"/>
      <c r="D167" s="11"/>
      <c r="E167" s="11"/>
      <c r="F167" s="11"/>
      <c r="G167" s="32"/>
    </row>
    <row r="168" spans="1:7" s="2" customFormat="1" ht="15">
      <c r="A168" s="443" t="s">
        <v>160</v>
      </c>
      <c r="B168" s="429"/>
      <c r="C168" s="430"/>
      <c r="D168" s="99">
        <v>0</v>
      </c>
      <c r="E168" s="99">
        <v>0</v>
      </c>
      <c r="F168" s="100">
        <v>0</v>
      </c>
      <c r="G168" s="101">
        <f>+F168+E168+D168</f>
        <v>0</v>
      </c>
    </row>
    <row r="169" spans="1:7" s="2" customFormat="1" ht="15">
      <c r="A169" s="34" t="s">
        <v>161</v>
      </c>
      <c r="B169" s="33"/>
      <c r="C169" s="33"/>
      <c r="D169" s="9"/>
      <c r="E169" s="9">
        <v>1897958728</v>
      </c>
      <c r="F169" s="9"/>
      <c r="G169" s="101">
        <f>+F169+E169+D169</f>
        <v>1897958728</v>
      </c>
    </row>
    <row r="170" spans="1:10" s="2" customFormat="1" ht="15">
      <c r="A170" s="34" t="s">
        <v>162</v>
      </c>
      <c r="B170" s="33"/>
      <c r="C170" s="33"/>
      <c r="D170" s="9"/>
      <c r="E170" s="9">
        <v>0</v>
      </c>
      <c r="F170" s="9"/>
      <c r="G170" s="101">
        <f>+F170+E170+D170</f>
        <v>0</v>
      </c>
      <c r="J170" s="5">
        <f>463657440+9878328</f>
        <v>473535768</v>
      </c>
    </row>
    <row r="171" spans="1:7" s="2" customFormat="1" ht="15">
      <c r="A171" s="34" t="s">
        <v>163</v>
      </c>
      <c r="B171" s="33"/>
      <c r="C171" s="33"/>
      <c r="D171" s="9"/>
      <c r="E171" s="9"/>
      <c r="F171" s="9"/>
      <c r="G171" s="101">
        <f>+F171+E171+D171</f>
        <v>0</v>
      </c>
    </row>
    <row r="172" spans="1:7" s="2" customFormat="1" ht="15">
      <c r="A172" s="443" t="s">
        <v>146</v>
      </c>
      <c r="B172" s="429"/>
      <c r="C172" s="430"/>
      <c r="D172" s="9"/>
      <c r="E172" s="9">
        <f>+E168+E169-E170-E171</f>
        <v>1897958728</v>
      </c>
      <c r="F172" s="9">
        <f>+F168+F169-F170-F171</f>
        <v>0</v>
      </c>
      <c r="G172" s="9">
        <f>+G168+G169-G170-G171</f>
        <v>1897958728</v>
      </c>
    </row>
    <row r="173" spans="1:7" s="2" customFormat="1" ht="15.75">
      <c r="A173" s="472" t="s">
        <v>147</v>
      </c>
      <c r="B173" s="473"/>
      <c r="C173" s="474"/>
      <c r="D173" s="9"/>
      <c r="E173" s="9"/>
      <c r="F173" s="9"/>
      <c r="G173" s="101"/>
    </row>
    <row r="174" spans="1:7" s="2" customFormat="1" ht="15">
      <c r="A174" s="443" t="s">
        <v>160</v>
      </c>
      <c r="B174" s="429"/>
      <c r="C174" s="430"/>
      <c r="D174" s="99"/>
      <c r="E174" s="99">
        <v>0</v>
      </c>
      <c r="F174" s="99">
        <v>0</v>
      </c>
      <c r="G174" s="101">
        <f>+F174+E174+D174</f>
        <v>0</v>
      </c>
    </row>
    <row r="175" spans="1:7" s="2" customFormat="1" ht="15">
      <c r="A175" s="34" t="s">
        <v>148</v>
      </c>
      <c r="B175" s="33"/>
      <c r="C175" s="33"/>
      <c r="D175" s="9"/>
      <c r="E175" s="9">
        <v>315400344</v>
      </c>
      <c r="F175" s="9"/>
      <c r="G175" s="101">
        <f>+F175+E175+D175</f>
        <v>315400344</v>
      </c>
    </row>
    <row r="176" spans="1:7" s="2" customFormat="1" ht="15">
      <c r="A176" s="34" t="s">
        <v>143</v>
      </c>
      <c r="B176" s="33"/>
      <c r="C176" s="33"/>
      <c r="D176" s="100"/>
      <c r="E176" s="100"/>
      <c r="F176" s="9"/>
      <c r="G176" s="101">
        <f>+F176+E176+D176</f>
        <v>0</v>
      </c>
    </row>
    <row r="177" spans="1:7" s="2" customFormat="1" ht="15">
      <c r="A177" s="34" t="s">
        <v>144</v>
      </c>
      <c r="B177" s="33"/>
      <c r="C177" s="33"/>
      <c r="D177" s="100"/>
      <c r="E177" s="100"/>
      <c r="F177" s="100"/>
      <c r="G177" s="101">
        <f>+F177+E177+D177</f>
        <v>0</v>
      </c>
    </row>
    <row r="178" spans="1:7" s="2" customFormat="1" ht="15">
      <c r="A178" s="34" t="s">
        <v>145</v>
      </c>
      <c r="B178" s="33"/>
      <c r="C178" s="33"/>
      <c r="D178" s="100"/>
      <c r="E178" s="100"/>
      <c r="F178" s="9"/>
      <c r="G178" s="101">
        <f>+F178+E178+D178</f>
        <v>0</v>
      </c>
    </row>
    <row r="179" spans="1:9" s="1" customFormat="1" ht="15.75">
      <c r="A179" s="443" t="s">
        <v>146</v>
      </c>
      <c r="B179" s="429"/>
      <c r="C179" s="430"/>
      <c r="D179" s="100"/>
      <c r="E179" s="100">
        <f>+E174+E175-E176-E177-E178</f>
        <v>315400344</v>
      </c>
      <c r="F179" s="100">
        <f>+F174+F175-F176-F177-F178</f>
        <v>0</v>
      </c>
      <c r="G179" s="100">
        <f>+G174+G175-G176-G177-G178</f>
        <v>315400344</v>
      </c>
      <c r="H179" s="2"/>
      <c r="I179" s="2"/>
    </row>
    <row r="180" spans="1:256" s="14" customFormat="1" ht="15.75">
      <c r="A180" s="35" t="s">
        <v>164</v>
      </c>
      <c r="B180" s="33"/>
      <c r="C180" s="33"/>
      <c r="D180" s="102"/>
      <c r="E180" s="102"/>
      <c r="F180" s="102"/>
      <c r="G180" s="101">
        <f>+F180+E180+D180</f>
        <v>0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1"/>
      <c r="T180" s="1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7" s="2" customFormat="1" ht="15">
      <c r="A181" s="34" t="s">
        <v>150</v>
      </c>
      <c r="B181" s="33"/>
      <c r="C181" s="33"/>
      <c r="D181" s="100">
        <v>0</v>
      </c>
      <c r="E181" s="100">
        <f>+E168-E174</f>
        <v>0</v>
      </c>
      <c r="F181" s="100">
        <f>+F168-F174</f>
        <v>0</v>
      </c>
      <c r="G181" s="101">
        <f>+F181+E181+D181</f>
        <v>0</v>
      </c>
    </row>
    <row r="182" spans="1:7" s="1" customFormat="1" ht="15.75">
      <c r="A182" s="36" t="s">
        <v>153</v>
      </c>
      <c r="B182" s="37"/>
      <c r="C182" s="37"/>
      <c r="D182" s="103"/>
      <c r="E182" s="103">
        <f>+E172-E179</f>
        <v>1582558384</v>
      </c>
      <c r="F182" s="103">
        <f>+F172-F179</f>
        <v>0</v>
      </c>
      <c r="G182" s="105">
        <f>+F182+E182+D182</f>
        <v>1582558384</v>
      </c>
    </row>
    <row r="183" spans="1:7" s="1" customFormat="1" ht="15.75">
      <c r="A183" s="51" t="s">
        <v>1072</v>
      </c>
      <c r="B183" s="19"/>
      <c r="C183" s="19"/>
      <c r="D183" s="19"/>
      <c r="E183" s="19"/>
      <c r="F183" s="19"/>
      <c r="G183" s="52"/>
    </row>
    <row r="184" spans="1:7" s="1" customFormat="1" ht="15.75">
      <c r="A184" s="51" t="s">
        <v>1073</v>
      </c>
      <c r="B184" s="19"/>
      <c r="C184" s="19"/>
      <c r="D184" s="19"/>
      <c r="E184" s="19"/>
      <c r="F184" s="19"/>
      <c r="G184" s="52"/>
    </row>
    <row r="185" spans="1:7" s="1" customFormat="1" ht="15.75">
      <c r="A185" s="51" t="s">
        <v>1071</v>
      </c>
      <c r="B185" s="19"/>
      <c r="C185" s="19"/>
      <c r="D185" s="19"/>
      <c r="E185" s="19"/>
      <c r="F185" s="19"/>
      <c r="G185" s="52"/>
    </row>
    <row r="186" spans="1:7" s="1" customFormat="1" ht="15.75">
      <c r="A186" s="19" t="s">
        <v>1074</v>
      </c>
      <c r="B186" s="19"/>
      <c r="C186" s="19"/>
      <c r="D186" s="19"/>
      <c r="E186" s="19"/>
      <c r="F186" s="76" t="s">
        <v>1121</v>
      </c>
      <c r="G186" s="76" t="s">
        <v>1120</v>
      </c>
    </row>
    <row r="187" spans="1:7" s="1" customFormat="1" ht="15.75">
      <c r="A187" s="51" t="s">
        <v>1075</v>
      </c>
      <c r="B187" s="19"/>
      <c r="C187" s="19"/>
      <c r="D187" s="19"/>
      <c r="E187" s="19"/>
      <c r="F187" s="106">
        <v>3333333</v>
      </c>
      <c r="G187" s="107">
        <v>7011585</v>
      </c>
    </row>
    <row r="188" spans="1:7" s="1" customFormat="1" ht="15.75">
      <c r="A188" s="19" t="s">
        <v>1076</v>
      </c>
      <c r="B188" s="19"/>
      <c r="C188" s="19"/>
      <c r="D188" s="19"/>
      <c r="E188" s="19"/>
      <c r="F188" s="76" t="s">
        <v>1121</v>
      </c>
      <c r="G188" s="76" t="s">
        <v>1120</v>
      </c>
    </row>
    <row r="189" spans="1:7" s="1" customFormat="1" ht="15.75">
      <c r="A189" s="51" t="s">
        <v>1077</v>
      </c>
      <c r="B189" s="19"/>
      <c r="C189" s="19"/>
      <c r="D189" s="19"/>
      <c r="E189" s="19"/>
      <c r="F189" s="106">
        <v>312983616</v>
      </c>
      <c r="G189" s="107">
        <v>0</v>
      </c>
    </row>
    <row r="190" spans="1:7" s="1" customFormat="1" ht="15.75">
      <c r="A190" s="51" t="s">
        <v>1078</v>
      </c>
      <c r="B190" s="19"/>
      <c r="C190" s="19"/>
      <c r="D190" s="19"/>
      <c r="E190" s="19"/>
      <c r="F190" s="106">
        <v>484079173</v>
      </c>
      <c r="G190" s="107">
        <v>956175552</v>
      </c>
    </row>
    <row r="191" spans="1:7" s="1" customFormat="1" ht="15.75">
      <c r="A191" s="51" t="s">
        <v>1079</v>
      </c>
      <c r="B191" s="19"/>
      <c r="C191" s="19"/>
      <c r="D191" s="19"/>
      <c r="E191" s="19"/>
      <c r="F191" s="106">
        <v>540683969</v>
      </c>
      <c r="G191" s="107">
        <v>643191936</v>
      </c>
    </row>
    <row r="192" spans="1:7" s="1" customFormat="1" ht="15.75">
      <c r="A192" s="51" t="s">
        <v>145</v>
      </c>
      <c r="B192" s="19"/>
      <c r="C192" s="19"/>
      <c r="D192" s="19"/>
      <c r="E192" s="19"/>
      <c r="F192" s="106">
        <v>55046748</v>
      </c>
      <c r="G192" s="107"/>
    </row>
    <row r="193" spans="1:9" s="1" customFormat="1" ht="15.75">
      <c r="A193" s="51" t="s">
        <v>1080</v>
      </c>
      <c r="B193" s="19"/>
      <c r="C193" s="19"/>
      <c r="D193" s="19"/>
      <c r="E193" s="19"/>
      <c r="F193" s="106">
        <f>+F189+F190-F191-F192</f>
        <v>201332072</v>
      </c>
      <c r="G193" s="106">
        <f>+G189+G190-G191-G192</f>
        <v>312983616</v>
      </c>
      <c r="I193" s="88"/>
    </row>
    <row r="194" spans="1:7" s="1" customFormat="1" ht="15" customHeight="1">
      <c r="A194" s="19" t="s">
        <v>1081</v>
      </c>
      <c r="B194" s="19"/>
      <c r="C194" s="19"/>
      <c r="D194" s="19"/>
      <c r="E194" s="19"/>
      <c r="F194" s="76" t="s">
        <v>1121</v>
      </c>
      <c r="G194" s="76" t="s">
        <v>1120</v>
      </c>
    </row>
    <row r="195" spans="1:7" s="1" customFormat="1" ht="15.75" hidden="1">
      <c r="A195" s="51" t="s">
        <v>1125</v>
      </c>
      <c r="B195" s="19"/>
      <c r="C195" s="19"/>
      <c r="D195" s="19"/>
      <c r="E195" s="19"/>
      <c r="F195" s="19"/>
      <c r="G195" s="52"/>
    </row>
    <row r="196" spans="1:7" s="1" customFormat="1" ht="15.75">
      <c r="A196" s="51" t="s">
        <v>1082</v>
      </c>
      <c r="B196" s="19"/>
      <c r="C196" s="19"/>
      <c r="D196" s="19"/>
      <c r="E196" s="19"/>
      <c r="F196" s="106">
        <v>420000000</v>
      </c>
      <c r="G196" s="107">
        <v>549600000</v>
      </c>
    </row>
    <row r="197" spans="1:7" s="1" customFormat="1" ht="15" customHeight="1">
      <c r="A197" s="51" t="s">
        <v>1083</v>
      </c>
      <c r="B197" s="19"/>
      <c r="C197" s="19"/>
      <c r="D197" s="19"/>
      <c r="E197" s="19"/>
      <c r="F197" s="106">
        <f>1123908000-420000000</f>
        <v>703908000</v>
      </c>
      <c r="G197" s="107"/>
    </row>
    <row r="198" spans="1:7" s="1" customFormat="1" ht="15.75" hidden="1">
      <c r="A198" s="51" t="s">
        <v>1084</v>
      </c>
      <c r="B198" s="19"/>
      <c r="C198" s="19"/>
      <c r="D198" s="19"/>
      <c r="E198" s="19"/>
      <c r="F198" s="106"/>
      <c r="G198" s="107"/>
    </row>
    <row r="199" spans="1:7" s="1" customFormat="1" ht="15.75">
      <c r="A199" s="438" t="s">
        <v>1116</v>
      </c>
      <c r="B199" s="438"/>
      <c r="C199" s="438"/>
      <c r="D199" s="438"/>
      <c r="E199" s="19"/>
      <c r="F199" s="104">
        <f>+SUM(F195:F198)</f>
        <v>1123908000</v>
      </c>
      <c r="G199" s="104">
        <f>+SUM(G195:G198)</f>
        <v>549600000</v>
      </c>
    </row>
    <row r="200" spans="1:7" s="1" customFormat="1" ht="15.75">
      <c r="A200" s="19" t="s">
        <v>1085</v>
      </c>
      <c r="B200" s="19"/>
      <c r="C200" s="19"/>
      <c r="D200" s="19"/>
      <c r="E200" s="19"/>
      <c r="F200" s="76" t="s">
        <v>1121</v>
      </c>
      <c r="G200" s="76" t="s">
        <v>1120</v>
      </c>
    </row>
    <row r="201" spans="1:7" s="1" customFormat="1" ht="15.75">
      <c r="A201" s="51" t="s">
        <v>1086</v>
      </c>
      <c r="B201" s="19"/>
      <c r="C201" s="19"/>
      <c r="D201" s="19"/>
      <c r="E201" s="19"/>
      <c r="F201" s="106">
        <v>4763184445</v>
      </c>
      <c r="G201" s="106">
        <v>5351597266</v>
      </c>
    </row>
    <row r="202" spans="1:7" s="1" customFormat="1" ht="15.75">
      <c r="A202" s="51" t="s">
        <v>1087</v>
      </c>
      <c r="B202" s="19"/>
      <c r="C202" s="19"/>
      <c r="D202" s="19"/>
      <c r="E202" s="19"/>
      <c r="F202" s="106">
        <v>166501515</v>
      </c>
      <c r="G202" s="106">
        <v>55088042</v>
      </c>
    </row>
    <row r="203" spans="1:7" s="1" customFormat="1" ht="15.75">
      <c r="A203" s="438" t="s">
        <v>1116</v>
      </c>
      <c r="B203" s="438"/>
      <c r="C203" s="438"/>
      <c r="D203" s="438"/>
      <c r="E203" s="19"/>
      <c r="F203" s="104">
        <f>+F201+F202</f>
        <v>4929685960</v>
      </c>
      <c r="G203" s="104">
        <f>+G201+G202</f>
        <v>5406685308</v>
      </c>
    </row>
    <row r="204" spans="1:7" s="1" customFormat="1" ht="15.75">
      <c r="A204" s="19"/>
      <c r="B204" s="77"/>
      <c r="C204" s="77"/>
      <c r="D204" s="77"/>
      <c r="E204" s="19"/>
      <c r="F204" s="76" t="s">
        <v>1121</v>
      </c>
      <c r="G204" s="76" t="s">
        <v>1120</v>
      </c>
    </row>
    <row r="205" spans="1:7" s="1" customFormat="1" ht="15.75">
      <c r="A205" s="19" t="s">
        <v>1088</v>
      </c>
      <c r="B205" s="77"/>
      <c r="C205" s="77"/>
      <c r="D205" s="77"/>
      <c r="E205" s="19"/>
      <c r="F205" s="104">
        <f>+F206+F209</f>
        <v>220925629</v>
      </c>
      <c r="G205" s="104">
        <f>+G206+G209</f>
        <v>16143206</v>
      </c>
    </row>
    <row r="206" spans="1:7" s="1" customFormat="1" ht="15.75">
      <c r="A206" s="19" t="s">
        <v>1089</v>
      </c>
      <c r="B206" s="77"/>
      <c r="C206" s="77"/>
      <c r="D206" s="77"/>
      <c r="E206" s="19"/>
      <c r="F206" s="108">
        <f>+F207+F208</f>
        <v>216123681</v>
      </c>
      <c r="G206" s="108">
        <f>+G207+G208</f>
        <v>10449024</v>
      </c>
    </row>
    <row r="207" spans="1:7" s="1" customFormat="1" ht="15.75">
      <c r="A207" s="19" t="s">
        <v>1090</v>
      </c>
      <c r="B207" s="77"/>
      <c r="C207" s="77"/>
      <c r="D207" s="77"/>
      <c r="E207" s="19"/>
      <c r="F207" s="106">
        <v>34021249</v>
      </c>
      <c r="G207" s="104"/>
    </row>
    <row r="208" spans="1:7" s="1" customFormat="1" ht="15.75">
      <c r="A208" s="19" t="s">
        <v>1091</v>
      </c>
      <c r="B208" s="77"/>
      <c r="C208" s="77"/>
      <c r="D208" s="77"/>
      <c r="E208" s="19"/>
      <c r="F208" s="106">
        <f>155327219+31577161-3746881-1055067</f>
        <v>182102432</v>
      </c>
      <c r="G208" s="106">
        <f>18000515-1857309-5694182</f>
        <v>10449024</v>
      </c>
    </row>
    <row r="209" spans="1:7" s="1" customFormat="1" ht="15.75">
      <c r="A209" s="19" t="s">
        <v>1092</v>
      </c>
      <c r="B209" s="77"/>
      <c r="C209" s="77"/>
      <c r="D209" s="77"/>
      <c r="E209" s="19"/>
      <c r="F209" s="108">
        <v>4801948</v>
      </c>
      <c r="G209" s="108">
        <f>16143206-10449024</f>
        <v>5694182</v>
      </c>
    </row>
    <row r="210" spans="1:7" s="1" customFormat="1" ht="15.75">
      <c r="A210" s="19" t="s">
        <v>1093</v>
      </c>
      <c r="B210" s="77"/>
      <c r="C210" s="77"/>
      <c r="D210" s="77"/>
      <c r="E210" s="19"/>
      <c r="F210" s="76" t="s">
        <v>1121</v>
      </c>
      <c r="G210" s="76" t="s">
        <v>1120</v>
      </c>
    </row>
    <row r="211" spans="1:7" s="1" customFormat="1" ht="15.75">
      <c r="A211" s="19" t="s">
        <v>1094</v>
      </c>
      <c r="B211" s="77"/>
      <c r="C211" s="77"/>
      <c r="D211" s="77"/>
      <c r="E211" s="19"/>
      <c r="F211" s="106">
        <v>61222719</v>
      </c>
      <c r="G211" s="106">
        <v>214840452</v>
      </c>
    </row>
    <row r="212" spans="1:7" s="1" customFormat="1" ht="15.75">
      <c r="A212" s="19" t="s">
        <v>1095</v>
      </c>
      <c r="B212" s="77"/>
      <c r="C212" s="77"/>
      <c r="D212" s="77"/>
      <c r="E212" s="19"/>
      <c r="F212" s="106">
        <v>10993282</v>
      </c>
      <c r="G212" s="106">
        <v>2570270</v>
      </c>
    </row>
    <row r="213" spans="1:7" s="1" customFormat="1" ht="15.75">
      <c r="A213" s="438" t="s">
        <v>1116</v>
      </c>
      <c r="B213" s="438"/>
      <c r="C213" s="438"/>
      <c r="D213" s="438"/>
      <c r="E213" s="19"/>
      <c r="F213" s="104">
        <f>+F211+F212</f>
        <v>72216001</v>
      </c>
      <c r="G213" s="104">
        <f>+G211+G212</f>
        <v>217410722</v>
      </c>
    </row>
    <row r="214" spans="1:7" s="1" customFormat="1" ht="15.75">
      <c r="A214" s="19" t="s">
        <v>1096</v>
      </c>
      <c r="B214" s="77"/>
      <c r="C214" s="77"/>
      <c r="D214" s="77"/>
      <c r="E214" s="19"/>
      <c r="F214" s="76" t="s">
        <v>1121</v>
      </c>
      <c r="G214" s="76" t="s">
        <v>1120</v>
      </c>
    </row>
    <row r="215" spans="1:7" s="1" customFormat="1" ht="15.75">
      <c r="A215" s="19" t="s">
        <v>1097</v>
      </c>
      <c r="B215" s="77"/>
      <c r="C215" s="77"/>
      <c r="D215" s="77"/>
      <c r="E215" s="19"/>
      <c r="F215" s="106"/>
      <c r="G215" s="104"/>
    </row>
    <row r="216" spans="1:7" s="1" customFormat="1" ht="15.75">
      <c r="A216" s="51" t="s">
        <v>1098</v>
      </c>
      <c r="B216" s="77"/>
      <c r="C216" s="77"/>
      <c r="D216" s="77"/>
      <c r="E216" s="19"/>
      <c r="F216" s="106">
        <v>552276</v>
      </c>
      <c r="G216" s="104"/>
    </row>
    <row r="217" spans="1:7" s="1" customFormat="1" ht="15.75">
      <c r="A217" s="51" t="s">
        <v>1099</v>
      </c>
      <c r="B217" s="77"/>
      <c r="C217" s="77"/>
      <c r="D217" s="77"/>
      <c r="E217" s="19"/>
      <c r="F217" s="106"/>
      <c r="G217" s="106">
        <v>2984364</v>
      </c>
    </row>
    <row r="218" spans="1:7" s="1" customFormat="1" ht="15.75">
      <c r="A218" s="51" t="s">
        <v>1100</v>
      </c>
      <c r="B218" s="77"/>
      <c r="C218" s="77"/>
      <c r="D218" s="77"/>
      <c r="E218" s="19"/>
      <c r="F218" s="106">
        <v>394510266</v>
      </c>
      <c r="G218" s="106">
        <v>485995372</v>
      </c>
    </row>
    <row r="219" spans="1:7" s="1" customFormat="1" ht="15.75">
      <c r="A219" s="438" t="s">
        <v>1116</v>
      </c>
      <c r="B219" s="438"/>
      <c r="C219" s="438"/>
      <c r="D219" s="438"/>
      <c r="E219" s="19"/>
      <c r="F219" s="104">
        <f>+SUM(F215:F218)</f>
        <v>395062542</v>
      </c>
      <c r="G219" s="104">
        <f>+SUM(G215:G218)</f>
        <v>488979736</v>
      </c>
    </row>
    <row r="220" spans="1:7" s="1" customFormat="1" ht="15.75">
      <c r="A220" s="19" t="s">
        <v>1101</v>
      </c>
      <c r="B220" s="77"/>
      <c r="C220" s="77"/>
      <c r="D220" s="77"/>
      <c r="E220" s="19"/>
      <c r="F220" s="76" t="s">
        <v>1121</v>
      </c>
      <c r="G220" s="76" t="s">
        <v>1120</v>
      </c>
    </row>
    <row r="221" spans="1:7" s="1" customFormat="1" ht="18.75" customHeight="1" hidden="1">
      <c r="A221" s="51" t="s">
        <v>1102</v>
      </c>
      <c r="B221" s="77"/>
      <c r="C221" s="77"/>
      <c r="D221" s="77"/>
      <c r="E221" s="19"/>
      <c r="F221" s="23"/>
      <c r="G221" s="23"/>
    </row>
    <row r="222" spans="1:7" s="1" customFormat="1" ht="15.75">
      <c r="A222" s="51" t="s">
        <v>1103</v>
      </c>
      <c r="B222" s="77"/>
      <c r="C222" s="77"/>
      <c r="D222" s="77"/>
      <c r="E222" s="19"/>
      <c r="F222" s="106">
        <v>1514842276</v>
      </c>
      <c r="G222" s="106">
        <v>1412783445</v>
      </c>
    </row>
    <row r="223" spans="1:7" s="1" customFormat="1" ht="15.75">
      <c r="A223" s="438" t="s">
        <v>1116</v>
      </c>
      <c r="B223" s="438"/>
      <c r="C223" s="438"/>
      <c r="D223" s="438"/>
      <c r="E223" s="19"/>
      <c r="F223" s="104">
        <f>+SUM(F221:F222)</f>
        <v>1514842276</v>
      </c>
      <c r="G223" s="104">
        <f>+SUM(G221:G222)</f>
        <v>1412783445</v>
      </c>
    </row>
    <row r="224" spans="1:7" s="1" customFormat="1" ht="15.75">
      <c r="A224" s="19" t="s">
        <v>1104</v>
      </c>
      <c r="B224" s="77"/>
      <c r="C224" s="77"/>
      <c r="D224" s="77"/>
      <c r="E224" s="19"/>
      <c r="F224" s="76" t="s">
        <v>1121</v>
      </c>
      <c r="G224" s="76" t="s">
        <v>1120</v>
      </c>
    </row>
    <row r="225" spans="1:7" s="1" customFormat="1" ht="15.75">
      <c r="A225" s="19" t="s">
        <v>1105</v>
      </c>
      <c r="B225" s="77"/>
      <c r="C225" s="77"/>
      <c r="D225" s="77"/>
      <c r="E225" s="19"/>
      <c r="F225" s="104">
        <f>+F226</f>
        <v>312000000</v>
      </c>
      <c r="G225" s="104">
        <f>+G226</f>
        <v>822000000</v>
      </c>
    </row>
    <row r="226" spans="1:7" s="1" customFormat="1" ht="15.75">
      <c r="A226" s="19" t="s">
        <v>1106</v>
      </c>
      <c r="B226" s="77"/>
      <c r="C226" s="77"/>
      <c r="D226" s="77"/>
      <c r="E226" s="19"/>
      <c r="F226" s="106">
        <v>312000000</v>
      </c>
      <c r="G226" s="106">
        <v>822000000</v>
      </c>
    </row>
    <row r="227" spans="1:7" s="1" customFormat="1" ht="15.75">
      <c r="A227" s="19" t="s">
        <v>1107</v>
      </c>
      <c r="B227" s="77"/>
      <c r="C227" s="77"/>
      <c r="D227" s="77"/>
      <c r="E227" s="19"/>
      <c r="F227" s="104">
        <f>+F228</f>
        <v>498110010</v>
      </c>
      <c r="G227" s="104">
        <f>+G228</f>
        <v>0</v>
      </c>
    </row>
    <row r="228" spans="1:7" s="1" customFormat="1" ht="15.75">
      <c r="A228" s="19" t="s">
        <v>1108</v>
      </c>
      <c r="B228" s="77"/>
      <c r="C228" s="77"/>
      <c r="D228" s="77"/>
      <c r="E228" s="19"/>
      <c r="F228" s="106">
        <v>498110010</v>
      </c>
      <c r="G228" s="106">
        <v>0</v>
      </c>
    </row>
    <row r="229" spans="1:7" s="1" customFormat="1" ht="15.75">
      <c r="A229" s="438" t="s">
        <v>1116</v>
      </c>
      <c r="B229" s="438"/>
      <c r="C229" s="438"/>
      <c r="D229" s="438"/>
      <c r="E229" s="19"/>
      <c r="F229" s="104">
        <f>+F225+F227</f>
        <v>810110010</v>
      </c>
      <c r="G229" s="104">
        <f>+G225+G227</f>
        <v>822000000</v>
      </c>
    </row>
    <row r="230" spans="1:7" s="1" customFormat="1" ht="15.75">
      <c r="A230" s="19" t="s">
        <v>1109</v>
      </c>
      <c r="B230" s="77"/>
      <c r="C230" s="77"/>
      <c r="D230" s="77"/>
      <c r="E230" s="19"/>
      <c r="F230" s="23"/>
      <c r="G230" s="23"/>
    </row>
    <row r="231" spans="1:7" s="1" customFormat="1" ht="15.75">
      <c r="A231" s="89"/>
      <c r="B231" s="421" t="s">
        <v>1121</v>
      </c>
      <c r="C231" s="421"/>
      <c r="D231" s="421"/>
      <c r="E231" s="421" t="s">
        <v>1120</v>
      </c>
      <c r="F231" s="421"/>
      <c r="G231" s="421"/>
    </row>
    <row r="232" spans="1:7" s="1" customFormat="1" ht="38.25">
      <c r="A232" s="90"/>
      <c r="B232" s="65" t="s">
        <v>1321</v>
      </c>
      <c r="C232" s="65" t="s">
        <v>1322</v>
      </c>
      <c r="D232" s="65" t="s">
        <v>1323</v>
      </c>
      <c r="E232" s="65" t="s">
        <v>1321</v>
      </c>
      <c r="F232" s="65" t="s">
        <v>1322</v>
      </c>
      <c r="G232" s="65" t="s">
        <v>1323</v>
      </c>
    </row>
    <row r="233" spans="1:7" s="1" customFormat="1" ht="15.75">
      <c r="A233" s="54" t="s">
        <v>1324</v>
      </c>
      <c r="B233" s="109">
        <v>649065313</v>
      </c>
      <c r="C233" s="110">
        <v>157519551</v>
      </c>
      <c r="D233" s="109">
        <f>+B233-C233</f>
        <v>491545762</v>
      </c>
      <c r="E233" s="54"/>
      <c r="F233" s="54"/>
      <c r="G233" s="54"/>
    </row>
    <row r="234" spans="1:7" s="28" customFormat="1" ht="15.75">
      <c r="A234" s="84"/>
      <c r="B234" s="84"/>
      <c r="C234" s="84"/>
      <c r="D234" s="84"/>
      <c r="E234" s="58"/>
      <c r="F234" s="59"/>
      <c r="G234" s="59"/>
    </row>
    <row r="235" spans="1:7" s="28" customFormat="1" ht="15.75">
      <c r="A235" s="19" t="s">
        <v>1325</v>
      </c>
      <c r="B235" s="85"/>
      <c r="C235" s="85"/>
      <c r="D235" s="85"/>
      <c r="E235" s="19"/>
      <c r="F235" s="23"/>
      <c r="G235" s="23"/>
    </row>
    <row r="236" spans="1:7" s="1" customFormat="1" ht="15.75">
      <c r="A236" s="19" t="s">
        <v>1327</v>
      </c>
      <c r="B236" s="85"/>
      <c r="C236" s="85"/>
      <c r="D236" s="85"/>
      <c r="E236" s="19"/>
      <c r="F236" s="23"/>
      <c r="G236" s="23">
        <f>+D236+E236-F236</f>
        <v>0</v>
      </c>
    </row>
    <row r="237" spans="1:7" s="1" customFormat="1" ht="39" customHeight="1">
      <c r="A237" s="419"/>
      <c r="B237" s="420"/>
      <c r="C237" s="91" t="s">
        <v>1331</v>
      </c>
      <c r="D237" s="91" t="s">
        <v>1329</v>
      </c>
      <c r="E237" s="91" t="s">
        <v>882</v>
      </c>
      <c r="F237" s="92" t="s">
        <v>1330</v>
      </c>
      <c r="G237" s="91" t="s">
        <v>1328</v>
      </c>
    </row>
    <row r="238" spans="1:7" s="1" customFormat="1" ht="15.75">
      <c r="A238" s="486" t="s">
        <v>1118</v>
      </c>
      <c r="B238" s="487"/>
      <c r="C238" s="65">
        <v>1</v>
      </c>
      <c r="D238" s="65">
        <v>2</v>
      </c>
      <c r="E238" s="65">
        <v>3</v>
      </c>
      <c r="F238" s="65">
        <v>4</v>
      </c>
      <c r="G238" s="65">
        <v>5</v>
      </c>
    </row>
    <row r="239" spans="1:7" s="1" customFormat="1" ht="15.75">
      <c r="A239" s="54" t="s">
        <v>1332</v>
      </c>
      <c r="B239" s="86"/>
      <c r="C239" s="86"/>
      <c r="D239" s="116">
        <v>0</v>
      </c>
      <c r="E239" s="54"/>
      <c r="F239" s="55"/>
      <c r="G239" s="116">
        <v>0</v>
      </c>
    </row>
    <row r="240" spans="1:7" s="1" customFormat="1" ht="15.75">
      <c r="A240" s="63" t="s">
        <v>1333</v>
      </c>
      <c r="B240" s="83"/>
      <c r="C240" s="83"/>
      <c r="D240" s="83"/>
      <c r="E240" s="56"/>
      <c r="F240" s="57"/>
      <c r="G240" s="57"/>
    </row>
    <row r="241" spans="1:7" s="1" customFormat="1" ht="15.75">
      <c r="A241" s="63" t="s">
        <v>1334</v>
      </c>
      <c r="B241" s="83"/>
      <c r="C241" s="83"/>
      <c r="D241" s="111">
        <v>5912886</v>
      </c>
      <c r="E241" s="56"/>
      <c r="F241" s="57"/>
      <c r="G241" s="57"/>
    </row>
    <row r="242" spans="1:7" s="1" customFormat="1" ht="15.75" hidden="1">
      <c r="A242" s="63" t="s">
        <v>1335</v>
      </c>
      <c r="B242" s="83"/>
      <c r="C242" s="83"/>
      <c r="D242" s="83"/>
      <c r="E242" s="56"/>
      <c r="F242" s="57"/>
      <c r="G242" s="57"/>
    </row>
    <row r="243" spans="1:7" s="1" customFormat="1" ht="15.75">
      <c r="A243" s="56" t="s">
        <v>1339</v>
      </c>
      <c r="B243" s="83"/>
      <c r="C243" s="83"/>
      <c r="D243" s="111">
        <v>5912886</v>
      </c>
      <c r="E243" s="111"/>
      <c r="F243" s="112"/>
      <c r="G243" s="111">
        <v>-115592029</v>
      </c>
    </row>
    <row r="244" spans="1:7" s="1" customFormat="1" ht="15.75">
      <c r="A244" s="56" t="s">
        <v>1340</v>
      </c>
      <c r="B244" s="83"/>
      <c r="C244" s="83"/>
      <c r="D244" s="111">
        <v>5912886</v>
      </c>
      <c r="E244" s="111"/>
      <c r="F244" s="111"/>
      <c r="G244" s="111">
        <v>-115592029</v>
      </c>
    </row>
    <row r="245" spans="1:7" s="1" customFormat="1" ht="15.75">
      <c r="A245" s="56" t="s">
        <v>1341</v>
      </c>
      <c r="B245" s="83"/>
      <c r="C245" s="83"/>
      <c r="D245" s="111"/>
      <c r="E245" s="111"/>
      <c r="F245" s="111"/>
      <c r="G245" s="111">
        <f>+G246+G247-G248</f>
        <v>115592029</v>
      </c>
    </row>
    <row r="246" spans="1:7" s="1" customFormat="1" ht="15.75">
      <c r="A246" s="63" t="s">
        <v>1342</v>
      </c>
      <c r="B246" s="83"/>
      <c r="C246" s="83"/>
      <c r="D246" s="111"/>
      <c r="E246" s="111"/>
      <c r="F246" s="111"/>
      <c r="G246" s="111"/>
    </row>
    <row r="247" spans="1:7" s="1" customFormat="1" ht="15.75">
      <c r="A247" s="63" t="s">
        <v>1343</v>
      </c>
      <c r="B247" s="83"/>
      <c r="C247" s="83"/>
      <c r="D247" s="111"/>
      <c r="E247" s="111"/>
      <c r="F247" s="111"/>
      <c r="G247" s="111">
        <v>676965342</v>
      </c>
    </row>
    <row r="248" spans="1:7" s="1" customFormat="1" ht="15.75">
      <c r="A248" s="63" t="s">
        <v>1344</v>
      </c>
      <c r="B248" s="83"/>
      <c r="C248" s="83"/>
      <c r="D248" s="111"/>
      <c r="E248" s="111"/>
      <c r="F248" s="111"/>
      <c r="G248" s="111">
        <v>561373313</v>
      </c>
    </row>
    <row r="249" spans="1:7" s="1" customFormat="1" ht="15.75">
      <c r="A249" s="58" t="s">
        <v>1345</v>
      </c>
      <c r="B249" s="84"/>
      <c r="C249" s="84"/>
      <c r="D249" s="113"/>
      <c r="E249" s="114"/>
      <c r="F249" s="115"/>
      <c r="G249" s="115">
        <f>G244+G245</f>
        <v>0</v>
      </c>
    </row>
    <row r="250" spans="1:7" s="1" customFormat="1" ht="15.75">
      <c r="A250" s="19" t="s">
        <v>1346</v>
      </c>
      <c r="B250" s="85"/>
      <c r="C250" s="85"/>
      <c r="D250" s="85"/>
      <c r="E250" s="19"/>
      <c r="F250" s="23"/>
      <c r="G250" s="23"/>
    </row>
    <row r="251" spans="1:7" s="1" customFormat="1" ht="15.75">
      <c r="A251" s="19" t="s">
        <v>1347</v>
      </c>
      <c r="B251" s="85"/>
      <c r="C251" s="85"/>
      <c r="D251" s="85"/>
      <c r="E251" s="19"/>
      <c r="F251" s="76" t="s">
        <v>1121</v>
      </c>
      <c r="G251" s="76" t="s">
        <v>1120</v>
      </c>
    </row>
    <row r="252" spans="1:7" s="1" customFormat="1" ht="15.75">
      <c r="A252" s="19" t="s">
        <v>1348</v>
      </c>
      <c r="B252" s="85"/>
      <c r="C252" s="85"/>
      <c r="D252" s="85"/>
      <c r="E252" s="19"/>
      <c r="F252" s="23"/>
      <c r="G252" s="23"/>
    </row>
    <row r="253" spans="1:7" s="1" customFormat="1" ht="15.75">
      <c r="A253" s="51" t="s">
        <v>1349</v>
      </c>
      <c r="B253" s="85"/>
      <c r="C253" s="85"/>
      <c r="D253" s="85"/>
      <c r="E253" s="19"/>
      <c r="F253" s="104">
        <f>+F254+F255</f>
        <v>40754122674</v>
      </c>
      <c r="G253" s="104">
        <f>+G254+G255</f>
        <v>36996775840</v>
      </c>
    </row>
    <row r="254" spans="1:7" s="1" customFormat="1" ht="15.75">
      <c r="A254" s="51" t="s">
        <v>1350</v>
      </c>
      <c r="B254" s="85"/>
      <c r="C254" s="85"/>
      <c r="D254" s="85"/>
      <c r="E254" s="19"/>
      <c r="F254" s="106">
        <v>29996241018</v>
      </c>
      <c r="G254" s="106">
        <f>20518628945+54373817+8153901467+1512867291+13441713+19799004+7117500</f>
        <v>30280129737</v>
      </c>
    </row>
    <row r="255" spans="1:7" s="1" customFormat="1" ht="15.75">
      <c r="A255" s="51" t="s">
        <v>1351</v>
      </c>
      <c r="B255" s="85"/>
      <c r="C255" s="85"/>
      <c r="D255" s="85"/>
      <c r="E255" s="19"/>
      <c r="F255" s="106">
        <v>10757881656</v>
      </c>
      <c r="G255" s="106">
        <f>3255290432+2154678964+28372644+288831563+157186060+229448000+100933756+501904684</f>
        <v>6716646103</v>
      </c>
    </row>
    <row r="256" spans="1:7" s="1" customFormat="1" ht="15.75">
      <c r="A256" s="51" t="s">
        <v>1352</v>
      </c>
      <c r="B256" s="85"/>
      <c r="C256" s="85"/>
      <c r="D256" s="85"/>
      <c r="E256" s="19"/>
      <c r="F256" s="104">
        <f>+F257+F258+F259</f>
        <v>135204315</v>
      </c>
      <c r="G256" s="104">
        <f>+G257+G258+G259</f>
        <v>53799930</v>
      </c>
    </row>
    <row r="257" spans="1:7" s="1" customFormat="1" ht="15.75">
      <c r="A257" s="51" t="s">
        <v>1353</v>
      </c>
      <c r="B257" s="85"/>
      <c r="C257" s="85"/>
      <c r="D257" s="85"/>
      <c r="E257" s="19"/>
      <c r="F257" s="104"/>
      <c r="G257" s="104"/>
    </row>
    <row r="258" spans="1:7" s="1" customFormat="1" ht="15.75">
      <c r="A258" s="51" t="s">
        <v>1354</v>
      </c>
      <c r="B258" s="85"/>
      <c r="C258" s="85"/>
      <c r="D258" s="85"/>
      <c r="E258" s="19"/>
      <c r="F258" s="104"/>
      <c r="G258" s="106">
        <f>13441713+19799004+7117500</f>
        <v>40358217</v>
      </c>
    </row>
    <row r="259" spans="1:7" s="1" customFormat="1" ht="15.75">
      <c r="A259" s="51" t="s">
        <v>654</v>
      </c>
      <c r="B259" s="85"/>
      <c r="C259" s="85"/>
      <c r="D259" s="85"/>
      <c r="E259" s="19"/>
      <c r="F259" s="106">
        <f>29996241018-29861036703</f>
        <v>135204315</v>
      </c>
      <c r="G259" s="106">
        <f>13441713</f>
        <v>13441713</v>
      </c>
    </row>
    <row r="260" spans="1:8" s="1" customFormat="1" ht="15.75">
      <c r="A260" s="51" t="s">
        <v>1355</v>
      </c>
      <c r="B260" s="85"/>
      <c r="C260" s="85"/>
      <c r="D260" s="85"/>
      <c r="E260" s="19"/>
      <c r="F260" s="104">
        <f>+F253-F256</f>
        <v>40618918359</v>
      </c>
      <c r="G260" s="104">
        <f>+G253-G256</f>
        <v>36942975910</v>
      </c>
      <c r="H260" s="88">
        <f>+G263+G262</f>
        <v>36942975910</v>
      </c>
    </row>
    <row r="261" spans="1:7" s="1" customFormat="1" ht="15.75">
      <c r="A261" s="19" t="s">
        <v>1126</v>
      </c>
      <c r="B261" s="85"/>
      <c r="C261" s="85"/>
      <c r="D261" s="85"/>
      <c r="E261" s="19"/>
      <c r="F261" s="104"/>
      <c r="G261" s="104"/>
    </row>
    <row r="262" spans="1:7" s="1" customFormat="1" ht="15.75">
      <c r="A262" s="51" t="s">
        <v>1356</v>
      </c>
      <c r="B262" s="85"/>
      <c r="C262" s="85"/>
      <c r="D262" s="85"/>
      <c r="E262" s="19"/>
      <c r="F262" s="106">
        <f>+F254-F259</f>
        <v>29861036703</v>
      </c>
      <c r="G262" s="106">
        <f>+G254-G256</f>
        <v>30226329807</v>
      </c>
    </row>
    <row r="263" spans="1:7" s="1" customFormat="1" ht="15.75">
      <c r="A263" s="51" t="s">
        <v>1357</v>
      </c>
      <c r="B263" s="85"/>
      <c r="C263" s="85"/>
      <c r="D263" s="85"/>
      <c r="E263" s="19"/>
      <c r="F263" s="106">
        <f>+F255</f>
        <v>10757881656</v>
      </c>
      <c r="G263" s="106">
        <f>+G255</f>
        <v>6716646103</v>
      </c>
    </row>
    <row r="264" spans="1:7" s="1" customFormat="1" ht="15.75">
      <c r="A264" s="19" t="s">
        <v>1358</v>
      </c>
      <c r="B264" s="85"/>
      <c r="C264" s="85"/>
      <c r="D264" s="85"/>
      <c r="E264" s="19"/>
      <c r="F264" s="104">
        <f>+F265+F266</f>
        <v>135775722</v>
      </c>
      <c r="G264" s="104">
        <f>+G265+G266</f>
        <v>18146407</v>
      </c>
    </row>
    <row r="265" spans="1:7" s="1" customFormat="1" ht="15.75">
      <c r="A265" s="51" t="s">
        <v>1359</v>
      </c>
      <c r="B265" s="85"/>
      <c r="C265" s="85"/>
      <c r="D265" s="85"/>
      <c r="E265" s="19"/>
      <c r="F265" s="106">
        <v>16775722</v>
      </c>
      <c r="G265" s="106">
        <f>18146407-674127</f>
        <v>17472280</v>
      </c>
    </row>
    <row r="266" spans="1:7" s="1" customFormat="1" ht="15.75">
      <c r="A266" s="51" t="s">
        <v>1360</v>
      </c>
      <c r="B266" s="85"/>
      <c r="C266" s="85"/>
      <c r="D266" s="85"/>
      <c r="E266" s="19"/>
      <c r="F266" s="106">
        <v>119000000</v>
      </c>
      <c r="G266" s="106">
        <v>674127</v>
      </c>
    </row>
    <row r="267" spans="1:7" s="1" customFormat="1" ht="15.75">
      <c r="A267" s="19" t="s">
        <v>1361</v>
      </c>
      <c r="B267" s="85"/>
      <c r="C267" s="85"/>
      <c r="D267" s="85"/>
      <c r="E267" s="19"/>
      <c r="F267" s="76" t="s">
        <v>1121</v>
      </c>
      <c r="G267" s="76" t="s">
        <v>1120</v>
      </c>
    </row>
    <row r="268" spans="1:7" s="1" customFormat="1" ht="15.75">
      <c r="A268" s="51" t="s">
        <v>1362</v>
      </c>
      <c r="B268" s="85"/>
      <c r="C268" s="85"/>
      <c r="D268" s="85"/>
      <c r="E268" s="19"/>
      <c r="F268" s="106">
        <f>25980659911-11629809</f>
        <v>25969030102</v>
      </c>
      <c r="G268" s="106">
        <v>25358416083</v>
      </c>
    </row>
    <row r="269" spans="1:7" s="1" customFormat="1" ht="15.75" hidden="1">
      <c r="A269" s="51" t="s">
        <v>1363</v>
      </c>
      <c r="B269" s="85"/>
      <c r="C269" s="85"/>
      <c r="D269" s="85"/>
      <c r="E269" s="19"/>
      <c r="F269" s="106"/>
      <c r="G269" s="106"/>
    </row>
    <row r="270" spans="1:9" s="1" customFormat="1" ht="15.75">
      <c r="A270" s="51" t="s">
        <v>1364</v>
      </c>
      <c r="B270" s="85"/>
      <c r="C270" s="85"/>
      <c r="D270" s="85"/>
      <c r="E270" s="19"/>
      <c r="F270" s="106">
        <v>6002792841</v>
      </c>
      <c r="G270" s="106">
        <f>4607003999+225595801</f>
        <v>4832599800</v>
      </c>
      <c r="I270" s="88">
        <f>+F271-31976322943</f>
        <v>-4500000</v>
      </c>
    </row>
    <row r="271" spans="1:7" s="1" customFormat="1" ht="15.75">
      <c r="A271" s="484" t="s">
        <v>1116</v>
      </c>
      <c r="B271" s="484"/>
      <c r="C271" s="484"/>
      <c r="D271" s="85"/>
      <c r="E271" s="19"/>
      <c r="F271" s="104">
        <f>+SUM(F268:F270)</f>
        <v>31971822943</v>
      </c>
      <c r="G271" s="104">
        <f>+SUM(G268:G270)</f>
        <v>30191015883</v>
      </c>
    </row>
    <row r="272" spans="1:7" s="1" customFormat="1" ht="18.75" customHeight="1">
      <c r="A272" s="19" t="s">
        <v>1365</v>
      </c>
      <c r="B272" s="53"/>
      <c r="C272" s="53"/>
      <c r="D272" s="85"/>
      <c r="E272" s="19"/>
      <c r="F272" s="76" t="s">
        <v>1121</v>
      </c>
      <c r="G272" s="76" t="s">
        <v>1120</v>
      </c>
    </row>
    <row r="273" spans="1:7" s="1" customFormat="1" ht="15.75">
      <c r="A273" s="19" t="s">
        <v>1366</v>
      </c>
      <c r="B273" s="53"/>
      <c r="C273" s="53"/>
      <c r="D273" s="85"/>
      <c r="E273" s="19"/>
      <c r="F273" s="106">
        <v>396929634</v>
      </c>
      <c r="G273" s="106">
        <v>96472692</v>
      </c>
    </row>
    <row r="274" spans="1:7" s="1" customFormat="1" ht="15.75">
      <c r="A274" s="19" t="s">
        <v>1367</v>
      </c>
      <c r="B274" s="53"/>
      <c r="C274" s="53"/>
      <c r="D274" s="85"/>
      <c r="E274" s="19"/>
      <c r="F274" s="76" t="s">
        <v>1121</v>
      </c>
      <c r="G274" s="76" t="s">
        <v>1120</v>
      </c>
    </row>
    <row r="275" spans="1:7" s="1" customFormat="1" ht="15.75">
      <c r="A275" s="19" t="s">
        <v>1368</v>
      </c>
      <c r="B275" s="53"/>
      <c r="C275" s="53"/>
      <c r="D275" s="85"/>
      <c r="E275" s="19"/>
      <c r="F275" s="106">
        <f>93887721+1543364+578568243</f>
        <v>673999328</v>
      </c>
      <c r="G275" s="106">
        <f>42793138+63704534</f>
        <v>106497672</v>
      </c>
    </row>
    <row r="276" spans="1:7" s="1" customFormat="1" ht="15.75">
      <c r="A276" s="19" t="s">
        <v>1369</v>
      </c>
      <c r="B276" s="53"/>
      <c r="C276" s="53"/>
      <c r="D276" s="85"/>
      <c r="E276" s="19"/>
      <c r="F276" s="106">
        <v>2268029959</v>
      </c>
      <c r="G276" s="106">
        <v>887443696</v>
      </c>
    </row>
    <row r="277" spans="1:7" s="1" customFormat="1" ht="15.75">
      <c r="A277" s="19" t="s">
        <v>1370</v>
      </c>
      <c r="B277" s="53"/>
      <c r="C277" s="53"/>
      <c r="D277" s="85"/>
      <c r="E277" s="19"/>
      <c r="F277" s="106">
        <v>694902018</v>
      </c>
      <c r="G277" s="106">
        <v>177946378</v>
      </c>
    </row>
    <row r="278" spans="1:7" s="1" customFormat="1" ht="15.75">
      <c r="A278" s="19" t="s">
        <v>1371</v>
      </c>
      <c r="B278" s="53"/>
      <c r="C278" s="53"/>
      <c r="D278" s="85"/>
      <c r="E278" s="19"/>
      <c r="F278" s="106">
        <f>41752104+5071623522+1087401121-1033883390+67165270+4763181+522962120+252392326-156872721</f>
        <v>5857303533</v>
      </c>
      <c r="G278" s="106">
        <f>8839084510+2788130782-770380594-63704534-112627548-154039134</f>
        <v>10526463482</v>
      </c>
    </row>
    <row r="279" spans="1:7" s="1" customFormat="1" ht="15.75">
      <c r="A279" s="19" t="s">
        <v>1372</v>
      </c>
      <c r="B279" s="53"/>
      <c r="C279" s="53"/>
      <c r="D279" s="85"/>
      <c r="E279" s="19"/>
      <c r="F279" s="106">
        <v>519023491</v>
      </c>
      <c r="G279" s="106">
        <v>154039134</v>
      </c>
    </row>
    <row r="280" spans="1:7" s="1" customFormat="1" ht="15.75">
      <c r="A280" s="484" t="s">
        <v>1116</v>
      </c>
      <c r="B280" s="484"/>
      <c r="C280" s="484"/>
      <c r="D280" s="85"/>
      <c r="E280" s="19"/>
      <c r="F280" s="104">
        <f>+SUM(F275:F279)</f>
        <v>10013258329</v>
      </c>
      <c r="G280" s="104">
        <f>+SUM(G275:G279)</f>
        <v>11852390362</v>
      </c>
    </row>
    <row r="281" spans="1:7" s="1" customFormat="1" ht="15.75">
      <c r="A281" s="19" t="s">
        <v>1373</v>
      </c>
      <c r="B281" s="53"/>
      <c r="C281" s="53"/>
      <c r="D281" s="85"/>
      <c r="E281" s="19"/>
      <c r="F281" s="76" t="s">
        <v>1121</v>
      </c>
      <c r="G281" s="76" t="s">
        <v>1120</v>
      </c>
    </row>
    <row r="282" spans="1:7" s="1" customFormat="1" ht="15.75">
      <c r="A282" s="51" t="s">
        <v>655</v>
      </c>
      <c r="B282" s="53"/>
      <c r="C282" s="53"/>
      <c r="D282" s="85"/>
      <c r="E282" s="19"/>
      <c r="F282" s="106">
        <f>155327219+27097715</f>
        <v>182424934</v>
      </c>
      <c r="G282" s="106">
        <v>16143206</v>
      </c>
    </row>
    <row r="283" spans="1:7" s="1" customFormat="1" ht="15.75">
      <c r="A283" s="51" t="s">
        <v>656</v>
      </c>
      <c r="B283" s="53"/>
      <c r="C283" s="53"/>
      <c r="D283" s="85"/>
      <c r="E283" s="19"/>
      <c r="F283" s="106">
        <v>404188785</v>
      </c>
      <c r="G283" s="106">
        <v>-115592029</v>
      </c>
    </row>
    <row r="284" spans="1:7" s="1" customFormat="1" ht="15.75">
      <c r="A284" s="19" t="s">
        <v>1374</v>
      </c>
      <c r="B284" s="53"/>
      <c r="C284" s="53"/>
      <c r="D284" s="85"/>
      <c r="E284" s="19"/>
      <c r="F284" s="106">
        <v>1132760466</v>
      </c>
      <c r="G284" s="106">
        <v>976175663</v>
      </c>
    </row>
    <row r="285" spans="1:7" s="1" customFormat="1" ht="15.75">
      <c r="A285" s="19" t="s">
        <v>1375</v>
      </c>
      <c r="B285" s="53"/>
      <c r="C285" s="53"/>
      <c r="D285" s="85"/>
      <c r="E285" s="19"/>
      <c r="F285" s="106">
        <v>135694256</v>
      </c>
      <c r="G285" s="106"/>
    </row>
    <row r="286" spans="1:7" s="1" customFormat="1" ht="15.75">
      <c r="A286" s="19" t="s">
        <v>1376</v>
      </c>
      <c r="B286" s="53"/>
      <c r="C286" s="53"/>
      <c r="D286" s="85"/>
      <c r="E286" s="19"/>
      <c r="F286" s="23"/>
      <c r="G286" s="23"/>
    </row>
    <row r="287" spans="1:7" s="1" customFormat="1" ht="15.75">
      <c r="A287" s="53"/>
      <c r="B287" s="53"/>
      <c r="C287" s="53"/>
      <c r="D287" s="85"/>
      <c r="E287" s="19"/>
      <c r="F287" s="23"/>
      <c r="G287" s="23"/>
    </row>
    <row r="288" spans="1:7" s="2" customFormat="1" ht="15.75">
      <c r="A288" s="23" t="s">
        <v>1377</v>
      </c>
      <c r="B288" s="7"/>
      <c r="C288" s="7"/>
      <c r="D288" s="60"/>
      <c r="E288" s="61"/>
      <c r="F288" s="60"/>
      <c r="G288" s="62"/>
    </row>
    <row r="289" spans="1:7" s="2" customFormat="1" ht="15">
      <c r="A289" s="7" t="s">
        <v>1378</v>
      </c>
      <c r="B289" s="7"/>
      <c r="C289" s="7"/>
      <c r="D289" s="7"/>
      <c r="E289" s="8"/>
      <c r="F289" s="7"/>
      <c r="G289" s="7"/>
    </row>
    <row r="290" s="2" customFormat="1" ht="15">
      <c r="A290" s="2" t="s">
        <v>1379</v>
      </c>
    </row>
    <row r="291" s="2" customFormat="1" ht="15">
      <c r="A291" s="2" t="s">
        <v>651</v>
      </c>
    </row>
    <row r="292" spans="5:7" s="2" customFormat="1" ht="15.75">
      <c r="E292" s="26"/>
      <c r="F292" s="26" t="s">
        <v>223</v>
      </c>
      <c r="G292" s="26"/>
    </row>
    <row r="293" spans="1:8" s="2" customFormat="1" ht="15.75">
      <c r="A293" s="434" t="s">
        <v>1122</v>
      </c>
      <c r="B293" s="434"/>
      <c r="C293" s="434" t="s">
        <v>1112</v>
      </c>
      <c r="D293" s="434"/>
      <c r="E293" s="434"/>
      <c r="F293" s="434" t="s">
        <v>1202</v>
      </c>
      <c r="G293" s="434"/>
      <c r="H293" s="4"/>
    </row>
    <row r="294" spans="1:7" s="44" customFormat="1" ht="18.75" customHeight="1">
      <c r="A294" s="485" t="s">
        <v>652</v>
      </c>
      <c r="B294" s="485"/>
      <c r="C294" s="485" t="s">
        <v>652</v>
      </c>
      <c r="D294" s="485"/>
      <c r="E294" s="485"/>
      <c r="F294" s="485" t="s">
        <v>653</v>
      </c>
      <c r="G294" s="485"/>
    </row>
    <row r="295" s="2" customFormat="1" ht="18.75" customHeight="1"/>
    <row r="296" s="2" customFormat="1" ht="18.75" customHeight="1"/>
    <row r="297" spans="1:7" s="2" customFormat="1" ht="18.75" customHeight="1">
      <c r="A297" s="4"/>
      <c r="B297" s="434"/>
      <c r="C297" s="434"/>
      <c r="D297" s="434"/>
      <c r="E297" s="25"/>
      <c r="F297" s="25"/>
      <c r="G297" s="25"/>
    </row>
    <row r="298" spans="1:8" s="2" customFormat="1" ht="18.75" customHeight="1">
      <c r="A298" s="434"/>
      <c r="B298" s="434"/>
      <c r="C298" s="434"/>
      <c r="D298" s="434"/>
      <c r="E298" s="434"/>
      <c r="F298" s="435"/>
      <c r="G298" s="435"/>
      <c r="H298" s="25"/>
    </row>
    <row r="299" s="2" customFormat="1" ht="18.75" customHeight="1"/>
    <row r="300" s="2" customFormat="1" ht="18.75" customHeight="1"/>
    <row r="301" s="2" customFormat="1" ht="18.75" customHeight="1"/>
    <row r="302" s="2" customFormat="1" ht="18.75" customHeight="1"/>
    <row r="303" s="2" customFormat="1" ht="18.75" customHeight="1"/>
    <row r="304" s="2" customFormat="1" ht="18.75" customHeight="1"/>
    <row r="305" s="2" customFormat="1" ht="18.75" customHeight="1"/>
    <row r="306" s="2" customFormat="1" ht="18.75" customHeight="1"/>
    <row r="307" s="2" customFormat="1" ht="18.75" customHeight="1"/>
    <row r="308" s="2" customFormat="1" ht="18.75" customHeight="1"/>
    <row r="309" s="2" customFormat="1" ht="18.75" customHeight="1"/>
    <row r="310" s="2" customFormat="1" ht="18.75" customHeight="1"/>
    <row r="311" s="2" customFormat="1" ht="18.75" customHeight="1"/>
    <row r="312" s="2" customFormat="1" ht="18.75" customHeight="1"/>
    <row r="313" s="2" customFormat="1" ht="18.75" customHeight="1"/>
    <row r="314" s="2" customFormat="1" ht="18.75" customHeight="1"/>
    <row r="315" s="2" customFormat="1" ht="18.75" customHeight="1"/>
    <row r="316" s="2" customFormat="1" ht="18.75" customHeight="1"/>
    <row r="317" s="2" customFormat="1" ht="18.75" customHeight="1"/>
    <row r="318" s="2" customFormat="1" ht="18.75" customHeight="1"/>
    <row r="319" s="2" customFormat="1" ht="18.75" customHeight="1"/>
    <row r="320" s="2" customFormat="1" ht="18.75" customHeight="1"/>
    <row r="321" s="2" customFormat="1" ht="18.75" customHeight="1"/>
    <row r="322" s="2" customFormat="1" ht="18.75" customHeight="1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</sheetData>
  <mergeCells count="199">
    <mergeCell ref="A173:C173"/>
    <mergeCell ref="A280:C280"/>
    <mergeCell ref="F294:G294"/>
    <mergeCell ref="C294:E294"/>
    <mergeCell ref="A294:B294"/>
    <mergeCell ref="C293:E293"/>
    <mergeCell ref="A293:B293"/>
    <mergeCell ref="F293:G293"/>
    <mergeCell ref="A174:C174"/>
    <mergeCell ref="A238:B238"/>
    <mergeCell ref="A271:C271"/>
    <mergeCell ref="A203:D203"/>
    <mergeCell ref="A213:D213"/>
    <mergeCell ref="A199:D199"/>
    <mergeCell ref="A229:D229"/>
    <mergeCell ref="B231:D231"/>
    <mergeCell ref="A129:E129"/>
    <mergeCell ref="A130:D130"/>
    <mergeCell ref="A134:C135"/>
    <mergeCell ref="G134:G135"/>
    <mergeCell ref="A132:D132"/>
    <mergeCell ref="A125:E125"/>
    <mergeCell ref="A126:E126"/>
    <mergeCell ref="A127:E127"/>
    <mergeCell ref="A128:E128"/>
    <mergeCell ref="A121:D121"/>
    <mergeCell ref="A122:E122"/>
    <mergeCell ref="A123:E123"/>
    <mergeCell ref="A124:E124"/>
    <mergeCell ref="A116:E116"/>
    <mergeCell ref="A117:E117"/>
    <mergeCell ref="A118:E118"/>
    <mergeCell ref="A120:D120"/>
    <mergeCell ref="A112:E112"/>
    <mergeCell ref="A113:E113"/>
    <mergeCell ref="A114:E114"/>
    <mergeCell ref="A115:D115"/>
    <mergeCell ref="A108:D108"/>
    <mergeCell ref="A109:D109"/>
    <mergeCell ref="A110:D110"/>
    <mergeCell ref="A111:D111"/>
    <mergeCell ref="A104:D104"/>
    <mergeCell ref="A105:D105"/>
    <mergeCell ref="A106:D106"/>
    <mergeCell ref="A107:D107"/>
    <mergeCell ref="A100:D100"/>
    <mergeCell ref="A101:D101"/>
    <mergeCell ref="A102:D102"/>
    <mergeCell ref="A103:D103"/>
    <mergeCell ref="A96:D96"/>
    <mergeCell ref="A97:D97"/>
    <mergeCell ref="A98:D98"/>
    <mergeCell ref="A99:D99"/>
    <mergeCell ref="A92:D92"/>
    <mergeCell ref="A93:D93"/>
    <mergeCell ref="A94:D94"/>
    <mergeCell ref="A95:D95"/>
    <mergeCell ref="A52:G52"/>
    <mergeCell ref="A53:G53"/>
    <mergeCell ref="A55:G55"/>
    <mergeCell ref="A85:D85"/>
    <mergeCell ref="A82:D82"/>
    <mergeCell ref="A72:G72"/>
    <mergeCell ref="A67:G67"/>
    <mergeCell ref="A68:G68"/>
    <mergeCell ref="A64:G64"/>
    <mergeCell ref="A65:G65"/>
    <mergeCell ref="A26:G26"/>
    <mergeCell ref="A27:G27"/>
    <mergeCell ref="A28:G28"/>
    <mergeCell ref="A50:G50"/>
    <mergeCell ref="A31:G31"/>
    <mergeCell ref="A32:G32"/>
    <mergeCell ref="A42:G42"/>
    <mergeCell ref="A48:G48"/>
    <mergeCell ref="A159:D159"/>
    <mergeCell ref="A158:E158"/>
    <mergeCell ref="A160:F160"/>
    <mergeCell ref="A162:D162"/>
    <mergeCell ref="A11:G11"/>
    <mergeCell ref="A12:G12"/>
    <mergeCell ref="A49:G49"/>
    <mergeCell ref="A29:G29"/>
    <mergeCell ref="A30:G30"/>
    <mergeCell ref="A23:G23"/>
    <mergeCell ref="A24:G24"/>
    <mergeCell ref="A25:G25"/>
    <mergeCell ref="A18:G18"/>
    <mergeCell ref="A19:G19"/>
    <mergeCell ref="E3:G3"/>
    <mergeCell ref="A8:G8"/>
    <mergeCell ref="A9:G9"/>
    <mergeCell ref="A10:G10"/>
    <mergeCell ref="A5:G5"/>
    <mergeCell ref="A6:G6"/>
    <mergeCell ref="A14:G14"/>
    <mergeCell ref="A16:G16"/>
    <mergeCell ref="A61:G61"/>
    <mergeCell ref="A63:G63"/>
    <mergeCell ref="A62:G62"/>
    <mergeCell ref="A56:G56"/>
    <mergeCell ref="A57:G57"/>
    <mergeCell ref="A58:G58"/>
    <mergeCell ref="A59:G59"/>
    <mergeCell ref="A54:G54"/>
    <mergeCell ref="A17:G17"/>
    <mergeCell ref="A136:C136"/>
    <mergeCell ref="A73:G73"/>
    <mergeCell ref="A74:G74"/>
    <mergeCell ref="A75:G75"/>
    <mergeCell ref="A83:D83"/>
    <mergeCell ref="A84:D84"/>
    <mergeCell ref="A86:D86"/>
    <mergeCell ref="A89:D89"/>
    <mergeCell ref="A90:D90"/>
    <mergeCell ref="A147:C147"/>
    <mergeCell ref="A145:C145"/>
    <mergeCell ref="A152:C152"/>
    <mergeCell ref="A146:C146"/>
    <mergeCell ref="C298:E298"/>
    <mergeCell ref="A298:B298"/>
    <mergeCell ref="B297:D297"/>
    <mergeCell ref="A166:C166"/>
    <mergeCell ref="A237:B237"/>
    <mergeCell ref="A223:D223"/>
    <mergeCell ref="A168:C168"/>
    <mergeCell ref="E231:G231"/>
    <mergeCell ref="A179:C179"/>
    <mergeCell ref="A172:C172"/>
    <mergeCell ref="E1:G1"/>
    <mergeCell ref="F298:G298"/>
    <mergeCell ref="E2:G2"/>
    <mergeCell ref="A13:G13"/>
    <mergeCell ref="A164:C165"/>
    <mergeCell ref="G164:G165"/>
    <mergeCell ref="A219:D219"/>
    <mergeCell ref="A51:G51"/>
    <mergeCell ref="A69:G69"/>
    <mergeCell ref="A66:G66"/>
    <mergeCell ref="I48:O48"/>
    <mergeCell ref="A33:G33"/>
    <mergeCell ref="H30:N30"/>
    <mergeCell ref="O30:U30"/>
    <mergeCell ref="A36:G36"/>
    <mergeCell ref="A37:G37"/>
    <mergeCell ref="A38:G38"/>
    <mergeCell ref="A39:G39"/>
    <mergeCell ref="A40:G40"/>
    <mergeCell ref="A41:G41"/>
    <mergeCell ref="V30:AB30"/>
    <mergeCell ref="AC30:AI30"/>
    <mergeCell ref="AJ30:AP30"/>
    <mergeCell ref="AQ30:AW30"/>
    <mergeCell ref="AX30:BD30"/>
    <mergeCell ref="BE30:BK30"/>
    <mergeCell ref="BL30:BR30"/>
    <mergeCell ref="BS30:BY30"/>
    <mergeCell ref="BZ30:CF30"/>
    <mergeCell ref="CG30:CM30"/>
    <mergeCell ref="CN30:CT30"/>
    <mergeCell ref="CU30:DA30"/>
    <mergeCell ref="EK30:EQ30"/>
    <mergeCell ref="ER30:EX30"/>
    <mergeCell ref="EY30:FE30"/>
    <mergeCell ref="DB30:DH30"/>
    <mergeCell ref="DI30:DO30"/>
    <mergeCell ref="DP30:DV30"/>
    <mergeCell ref="DW30:EC30"/>
    <mergeCell ref="ED30:EJ30"/>
    <mergeCell ref="IS30:IV30"/>
    <mergeCell ref="A34:G34"/>
    <mergeCell ref="A35:G35"/>
    <mergeCell ref="HJ30:HP30"/>
    <mergeCell ref="HQ30:HW30"/>
    <mergeCell ref="HX30:ID30"/>
    <mergeCell ref="IE30:IK30"/>
    <mergeCell ref="GH30:GN30"/>
    <mergeCell ref="GO30:GU30"/>
    <mergeCell ref="GV30:HB30"/>
    <mergeCell ref="IL30:IR30"/>
    <mergeCell ref="HC30:HI30"/>
    <mergeCell ref="FF30:FL30"/>
    <mergeCell ref="FM30:FS30"/>
    <mergeCell ref="FT30:FZ30"/>
    <mergeCell ref="GA30:GG30"/>
    <mergeCell ref="A60:G60"/>
    <mergeCell ref="I138:O138"/>
    <mergeCell ref="A76:G76"/>
    <mergeCell ref="A77:G77"/>
    <mergeCell ref="A78:G78"/>
    <mergeCell ref="A79:G79"/>
    <mergeCell ref="A80:G80"/>
    <mergeCell ref="A81:G81"/>
    <mergeCell ref="A91:D91"/>
    <mergeCell ref="A138:C138"/>
    <mergeCell ref="A87:D87"/>
    <mergeCell ref="A88:D88"/>
    <mergeCell ref="A70:G70"/>
    <mergeCell ref="A71:G71"/>
  </mergeCells>
  <printOptions/>
  <pageMargins left="0.8" right="0.25" top="0.34" bottom="0.57" header="0.3" footer="0.2"/>
  <pageSetup horizontalDpi="300" verticalDpi="300" orientation="portrait" r:id="rId1"/>
  <headerFooter alignWithMargins="0">
    <oddFooter>&amp;C&amp;".VnTime,Regular"&amp;6THUYET MINH BAO CAO TAI CHINH&amp;R&amp;".VnTime,Regular"&amp;6trang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79"/>
  <sheetViews>
    <sheetView workbookViewId="0" topLeftCell="A1">
      <selection activeCell="A11" sqref="A11:G11"/>
    </sheetView>
  </sheetViews>
  <sheetFormatPr defaultColWidth="8.796875" defaultRowHeight="15"/>
  <cols>
    <col min="1" max="1" width="12.296875" style="0" customWidth="1"/>
    <col min="2" max="2" width="17" style="0" customWidth="1"/>
    <col min="3" max="4" width="12.09765625" style="0" customWidth="1"/>
    <col min="5" max="5" width="14.09765625" style="0" customWidth="1"/>
    <col min="6" max="7" width="13.59765625" style="0" customWidth="1"/>
    <col min="8" max="8" width="16.8984375" style="123" customWidth="1"/>
    <col min="9" max="12" width="15.09765625" style="123" customWidth="1"/>
    <col min="13" max="13" width="16.09765625" style="123" customWidth="1"/>
    <col min="14" max="35" width="9.09765625" style="123" customWidth="1"/>
    <col min="36" max="56" width="9.09765625" style="124" customWidth="1"/>
  </cols>
  <sheetData>
    <row r="1" spans="1:7" ht="16.5" customHeight="1">
      <c r="A1" s="507" t="s">
        <v>1179</v>
      </c>
      <c r="B1" s="507"/>
      <c r="C1" s="507"/>
      <c r="D1" s="3"/>
      <c r="E1" s="508" t="s">
        <v>1180</v>
      </c>
      <c r="F1" s="508"/>
      <c r="G1" s="508"/>
    </row>
    <row r="2" spans="1:7" ht="15" customHeight="1">
      <c r="A2" s="509" t="s">
        <v>1181</v>
      </c>
      <c r="B2" s="509"/>
      <c r="C2" s="509"/>
      <c r="D2" s="3"/>
      <c r="E2" s="436" t="s">
        <v>1177</v>
      </c>
      <c r="F2" s="436"/>
      <c r="G2" s="436"/>
    </row>
    <row r="3" spans="1:7" ht="12.75" customHeight="1">
      <c r="A3" s="510" t="s">
        <v>1182</v>
      </c>
      <c r="B3" s="510"/>
      <c r="C3" s="510"/>
      <c r="D3" s="42"/>
      <c r="E3" s="436" t="s">
        <v>1178</v>
      </c>
      <c r="F3" s="436"/>
      <c r="G3" s="436"/>
    </row>
    <row r="4" spans="1:7" ht="13.5" customHeight="1">
      <c r="A4" s="511"/>
      <c r="B4" s="511"/>
      <c r="C4" s="511"/>
      <c r="D4" s="511"/>
      <c r="E4" s="436"/>
      <c r="F4" s="436"/>
      <c r="G4" s="436"/>
    </row>
    <row r="5" spans="1:7" ht="18">
      <c r="A5" s="512" t="s">
        <v>1183</v>
      </c>
      <c r="B5" s="512"/>
      <c r="C5" s="512"/>
      <c r="D5" s="512"/>
      <c r="E5" s="512"/>
      <c r="F5" s="512"/>
      <c r="G5" s="512"/>
    </row>
    <row r="6" spans="1:7" ht="15.75">
      <c r="A6" s="434" t="s">
        <v>1140</v>
      </c>
      <c r="B6" s="434"/>
      <c r="C6" s="434"/>
      <c r="D6" s="434"/>
      <c r="E6" s="434"/>
      <c r="F6" s="434"/>
      <c r="G6" s="434"/>
    </row>
    <row r="7" spans="1:56" s="2" customFormat="1" ht="11.25" customHeight="1">
      <c r="A7" s="6"/>
      <c r="B7" s="6"/>
      <c r="C7" s="6"/>
      <c r="D7" s="6"/>
      <c r="E7" s="6"/>
      <c r="F7" s="6"/>
      <c r="G7" s="6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</row>
    <row r="8" spans="1:56" s="2" customFormat="1" ht="15.75">
      <c r="A8" s="513" t="s">
        <v>404</v>
      </c>
      <c r="B8" s="513"/>
      <c r="C8" s="513"/>
      <c r="D8" s="513"/>
      <c r="E8" s="513"/>
      <c r="F8" s="513"/>
      <c r="G8" s="513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</row>
    <row r="9" spans="1:56" s="2" customFormat="1" ht="26.25" customHeight="1">
      <c r="A9" s="514" t="s">
        <v>1221</v>
      </c>
      <c r="B9" s="515"/>
      <c r="C9" s="515"/>
      <c r="D9" s="515"/>
      <c r="E9" s="515"/>
      <c r="F9" s="515"/>
      <c r="G9" s="51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</row>
    <row r="10" spans="1:56" s="2" customFormat="1" ht="15">
      <c r="A10" s="516" t="s">
        <v>1222</v>
      </c>
      <c r="B10" s="516"/>
      <c r="C10" s="516"/>
      <c r="D10" s="516"/>
      <c r="E10" s="516"/>
      <c r="F10" s="516"/>
      <c r="G10" s="516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</row>
    <row r="11" spans="1:56" s="2" customFormat="1" ht="85.5" customHeight="1">
      <c r="A11" s="514" t="s">
        <v>1205</v>
      </c>
      <c r="B11" s="515"/>
      <c r="C11" s="515"/>
      <c r="D11" s="515"/>
      <c r="E11" s="515"/>
      <c r="F11" s="515"/>
      <c r="G11" s="51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</row>
    <row r="12" spans="1:56" s="2" customFormat="1" ht="41.25" customHeight="1">
      <c r="A12" s="514" t="s">
        <v>1184</v>
      </c>
      <c r="B12" s="515"/>
      <c r="C12" s="515"/>
      <c r="D12" s="515"/>
      <c r="E12" s="515"/>
      <c r="F12" s="515"/>
      <c r="G12" s="51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</row>
    <row r="13" spans="1:56" s="2" customFormat="1" ht="12" customHeight="1">
      <c r="A13" s="127"/>
      <c r="B13" s="128"/>
      <c r="C13" s="128"/>
      <c r="D13" s="128"/>
      <c r="E13" s="128"/>
      <c r="F13" s="128"/>
      <c r="G13" s="128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</row>
    <row r="14" spans="1:56" s="2" customFormat="1" ht="15.75">
      <c r="A14" s="513" t="s">
        <v>1185</v>
      </c>
      <c r="B14" s="513"/>
      <c r="C14" s="513"/>
      <c r="D14" s="513"/>
      <c r="E14" s="513"/>
      <c r="F14" s="513"/>
      <c r="G14" s="513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</row>
    <row r="15" spans="1:56" s="2" customFormat="1" ht="15">
      <c r="A15" s="516" t="s">
        <v>1186</v>
      </c>
      <c r="B15" s="516"/>
      <c r="C15" s="516"/>
      <c r="D15" s="516"/>
      <c r="E15" s="516"/>
      <c r="F15" s="516"/>
      <c r="G15" s="516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</row>
    <row r="16" spans="1:56" s="2" customFormat="1" ht="15">
      <c r="A16" s="516" t="s">
        <v>407</v>
      </c>
      <c r="B16" s="516"/>
      <c r="C16" s="516"/>
      <c r="D16" s="516"/>
      <c r="E16" s="516"/>
      <c r="F16" s="516"/>
      <c r="G16" s="516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</row>
    <row r="17" spans="1:56" s="2" customFormat="1" ht="11.25" customHeight="1">
      <c r="A17" s="120"/>
      <c r="B17" s="120"/>
      <c r="C17" s="120"/>
      <c r="D17" s="120"/>
      <c r="E17" s="120"/>
      <c r="F17" s="120"/>
      <c r="G17" s="120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</row>
    <row r="18" spans="1:56" s="2" customFormat="1" ht="15.75">
      <c r="A18" s="129" t="s">
        <v>1187</v>
      </c>
      <c r="B18" s="73"/>
      <c r="C18" s="73"/>
      <c r="D18" s="73"/>
      <c r="E18" s="73"/>
      <c r="F18" s="73"/>
      <c r="G18" s="73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</row>
    <row r="19" spans="1:56" s="2" customFormat="1" ht="15">
      <c r="A19" s="516" t="s">
        <v>409</v>
      </c>
      <c r="B19" s="516"/>
      <c r="C19" s="516"/>
      <c r="D19" s="516"/>
      <c r="E19" s="516"/>
      <c r="F19" s="516"/>
      <c r="G19" s="516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</row>
    <row r="20" spans="1:56" s="2" customFormat="1" ht="84" customHeight="1">
      <c r="A20" s="514" t="s">
        <v>1188</v>
      </c>
      <c r="B20" s="515"/>
      <c r="C20" s="515"/>
      <c r="D20" s="515"/>
      <c r="E20" s="515"/>
      <c r="F20" s="515"/>
      <c r="G20" s="515"/>
      <c r="H20" s="125" t="s">
        <v>410</v>
      </c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</row>
    <row r="21" spans="1:56" s="2" customFormat="1" ht="15.75" customHeight="1">
      <c r="A21" s="516" t="s">
        <v>1127</v>
      </c>
      <c r="B21" s="516"/>
      <c r="C21" s="516"/>
      <c r="D21" s="516"/>
      <c r="E21" s="516"/>
      <c r="F21" s="516"/>
      <c r="G21" s="516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</row>
    <row r="22" spans="1:56" s="2" customFormat="1" ht="15.75">
      <c r="A22" s="120" t="s">
        <v>413</v>
      </c>
      <c r="B22" s="118"/>
      <c r="C22" s="118"/>
      <c r="D22" s="118"/>
      <c r="E22" s="118"/>
      <c r="F22" s="118"/>
      <c r="G22" s="118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</row>
    <row r="23" spans="1:56" s="2" customFormat="1" ht="15">
      <c r="A23" s="516" t="s">
        <v>1189</v>
      </c>
      <c r="B23" s="516"/>
      <c r="C23" s="516"/>
      <c r="D23" s="516"/>
      <c r="E23" s="516"/>
      <c r="F23" s="516"/>
      <c r="G23" s="516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</row>
    <row r="24" spans="1:56" s="2" customFormat="1" ht="11.25" customHeight="1">
      <c r="A24" s="120"/>
      <c r="B24" s="120"/>
      <c r="C24" s="120"/>
      <c r="D24" s="120"/>
      <c r="E24" s="120"/>
      <c r="F24" s="120"/>
      <c r="G24" s="120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</row>
    <row r="25" spans="1:56" s="2" customFormat="1" ht="15.75">
      <c r="A25" s="118" t="s">
        <v>1190</v>
      </c>
      <c r="B25" s="118"/>
      <c r="C25" s="118"/>
      <c r="D25" s="118"/>
      <c r="E25" s="118"/>
      <c r="F25" s="118"/>
      <c r="G25" s="118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</row>
    <row r="26" spans="1:56" s="2" customFormat="1" ht="26.25" customHeight="1">
      <c r="A26" s="519" t="s">
        <v>1128</v>
      </c>
      <c r="B26" s="519"/>
      <c r="C26" s="519"/>
      <c r="D26" s="519"/>
      <c r="E26" s="519"/>
      <c r="F26" s="519"/>
      <c r="G26" s="519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</row>
    <row r="27" spans="1:56" s="2" customFormat="1" ht="44.25" customHeight="1">
      <c r="A27" s="514" t="s">
        <v>1191</v>
      </c>
      <c r="B27" s="515"/>
      <c r="C27" s="515"/>
      <c r="D27" s="515"/>
      <c r="E27" s="515"/>
      <c r="F27" s="515"/>
      <c r="G27" s="51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</row>
    <row r="28" spans="1:56" s="2" customFormat="1" ht="15">
      <c r="A28" s="517" t="s">
        <v>417</v>
      </c>
      <c r="B28" s="518"/>
      <c r="C28" s="518"/>
      <c r="D28" s="518"/>
      <c r="E28" s="518"/>
      <c r="F28" s="518"/>
      <c r="G28" s="518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</row>
    <row r="29" spans="1:56" s="2" customFormat="1" ht="83.25" customHeight="1">
      <c r="A29" s="514" t="s">
        <v>1022</v>
      </c>
      <c r="B29" s="515"/>
      <c r="C29" s="515"/>
      <c r="D29" s="515"/>
      <c r="E29" s="515"/>
      <c r="F29" s="515"/>
      <c r="G29" s="51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</row>
    <row r="30" spans="1:56" s="2" customFormat="1" ht="15">
      <c r="A30" s="514" t="s">
        <v>1129</v>
      </c>
      <c r="B30" s="514"/>
      <c r="C30" s="514"/>
      <c r="D30" s="514"/>
      <c r="E30" s="514"/>
      <c r="F30" s="514"/>
      <c r="G30" s="51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</row>
    <row r="31" spans="1:56" s="2" customFormat="1" ht="55.5" customHeight="1">
      <c r="A31" s="515" t="s">
        <v>306</v>
      </c>
      <c r="B31" s="515"/>
      <c r="C31" s="515"/>
      <c r="D31" s="515"/>
      <c r="E31" s="515"/>
      <c r="F31" s="515"/>
      <c r="G31" s="51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</row>
    <row r="32" spans="1:56" s="2" customFormat="1" ht="39" customHeight="1">
      <c r="A32" s="514" t="s">
        <v>1192</v>
      </c>
      <c r="B32" s="515"/>
      <c r="C32" s="515"/>
      <c r="D32" s="515"/>
      <c r="E32" s="515"/>
      <c r="F32" s="515"/>
      <c r="G32" s="51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</row>
    <row r="33" spans="1:56" s="2" customFormat="1" ht="42.75" customHeight="1">
      <c r="A33" s="514" t="s">
        <v>530</v>
      </c>
      <c r="B33" s="515"/>
      <c r="C33" s="515"/>
      <c r="D33" s="515"/>
      <c r="E33" s="515"/>
      <c r="F33" s="515"/>
      <c r="G33" s="51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</row>
    <row r="34" spans="1:56" s="2" customFormat="1" ht="30.75" customHeight="1">
      <c r="A34" s="514" t="s">
        <v>531</v>
      </c>
      <c r="B34" s="515"/>
      <c r="C34" s="515"/>
      <c r="D34" s="515"/>
      <c r="E34" s="515"/>
      <c r="F34" s="515"/>
      <c r="G34" s="51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</row>
    <row r="35" spans="1:56" s="2" customFormat="1" ht="27.75" customHeight="1">
      <c r="A35" s="515" t="s">
        <v>532</v>
      </c>
      <c r="B35" s="515"/>
      <c r="C35" s="515"/>
      <c r="D35" s="515"/>
      <c r="E35" s="515"/>
      <c r="F35" s="515"/>
      <c r="G35" s="51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</row>
    <row r="36" spans="1:56" s="2" customFormat="1" ht="15">
      <c r="A36" s="520" t="s">
        <v>533</v>
      </c>
      <c r="B36" s="520"/>
      <c r="C36" s="520"/>
      <c r="D36" s="520"/>
      <c r="E36" s="520"/>
      <c r="F36" s="520"/>
      <c r="G36" s="520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</row>
    <row r="37" spans="1:256" s="2" customFormat="1" ht="31.5" customHeight="1">
      <c r="A37" s="515" t="s">
        <v>534</v>
      </c>
      <c r="B37" s="515"/>
      <c r="C37" s="515"/>
      <c r="D37" s="515"/>
      <c r="E37" s="515"/>
      <c r="F37" s="515"/>
      <c r="G37" s="515"/>
      <c r="H37" s="521"/>
      <c r="I37" s="522"/>
      <c r="J37" s="522"/>
      <c r="K37" s="522"/>
      <c r="L37" s="522"/>
      <c r="M37" s="522"/>
      <c r="N37" s="522"/>
      <c r="O37" s="521"/>
      <c r="P37" s="522"/>
      <c r="Q37" s="522"/>
      <c r="R37" s="522"/>
      <c r="S37" s="522"/>
      <c r="T37" s="522"/>
      <c r="U37" s="522"/>
      <c r="V37" s="521"/>
      <c r="W37" s="522"/>
      <c r="X37" s="522"/>
      <c r="Y37" s="522"/>
      <c r="Z37" s="522"/>
      <c r="AA37" s="522"/>
      <c r="AB37" s="522"/>
      <c r="AC37" s="521"/>
      <c r="AD37" s="522"/>
      <c r="AE37" s="522"/>
      <c r="AF37" s="522"/>
      <c r="AG37" s="522"/>
      <c r="AH37" s="522"/>
      <c r="AI37" s="522"/>
      <c r="AJ37" s="523"/>
      <c r="AK37" s="524"/>
      <c r="AL37" s="524"/>
      <c r="AM37" s="524"/>
      <c r="AN37" s="524"/>
      <c r="AO37" s="524"/>
      <c r="AP37" s="524"/>
      <c r="AQ37" s="523"/>
      <c r="AR37" s="524"/>
      <c r="AS37" s="524"/>
      <c r="AT37" s="524"/>
      <c r="AU37" s="524"/>
      <c r="AV37" s="524"/>
      <c r="AW37" s="524"/>
      <c r="AX37" s="523"/>
      <c r="AY37" s="524"/>
      <c r="AZ37" s="524"/>
      <c r="BA37" s="524"/>
      <c r="BB37" s="524"/>
      <c r="BC37" s="524"/>
      <c r="BD37" s="524"/>
      <c r="BE37" s="431"/>
      <c r="BF37" s="440"/>
      <c r="BG37" s="440"/>
      <c r="BH37" s="440"/>
      <c r="BI37" s="440"/>
      <c r="BJ37" s="440"/>
      <c r="BK37" s="440"/>
      <c r="BL37" s="431"/>
      <c r="BM37" s="440"/>
      <c r="BN37" s="440"/>
      <c r="BO37" s="440"/>
      <c r="BP37" s="440"/>
      <c r="BQ37" s="440"/>
      <c r="BR37" s="440"/>
      <c r="BS37" s="431"/>
      <c r="BT37" s="440"/>
      <c r="BU37" s="440"/>
      <c r="BV37" s="440"/>
      <c r="BW37" s="440"/>
      <c r="BX37" s="440"/>
      <c r="BY37" s="440"/>
      <c r="BZ37" s="431"/>
      <c r="CA37" s="440"/>
      <c r="CB37" s="440"/>
      <c r="CC37" s="440"/>
      <c r="CD37" s="440"/>
      <c r="CE37" s="440"/>
      <c r="CF37" s="440"/>
      <c r="CG37" s="431"/>
      <c r="CH37" s="440"/>
      <c r="CI37" s="440"/>
      <c r="CJ37" s="440"/>
      <c r="CK37" s="440"/>
      <c r="CL37" s="440"/>
      <c r="CM37" s="440"/>
      <c r="CN37" s="431"/>
      <c r="CO37" s="440"/>
      <c r="CP37" s="440"/>
      <c r="CQ37" s="440"/>
      <c r="CR37" s="440"/>
      <c r="CS37" s="440"/>
      <c r="CT37" s="440"/>
      <c r="CU37" s="431"/>
      <c r="CV37" s="440"/>
      <c r="CW37" s="440"/>
      <c r="CX37" s="440"/>
      <c r="CY37" s="440"/>
      <c r="CZ37" s="440"/>
      <c r="DA37" s="440"/>
      <c r="DB37" s="431"/>
      <c r="DC37" s="440"/>
      <c r="DD37" s="440"/>
      <c r="DE37" s="440"/>
      <c r="DF37" s="440"/>
      <c r="DG37" s="440"/>
      <c r="DH37" s="440"/>
      <c r="DI37" s="431"/>
      <c r="DJ37" s="440"/>
      <c r="DK37" s="440"/>
      <c r="DL37" s="440"/>
      <c r="DM37" s="440"/>
      <c r="DN37" s="440"/>
      <c r="DO37" s="440"/>
      <c r="DP37" s="431"/>
      <c r="DQ37" s="440"/>
      <c r="DR37" s="440"/>
      <c r="DS37" s="440"/>
      <c r="DT37" s="440"/>
      <c r="DU37" s="440"/>
      <c r="DV37" s="440"/>
      <c r="DW37" s="431"/>
      <c r="DX37" s="440"/>
      <c r="DY37" s="440"/>
      <c r="DZ37" s="440"/>
      <c r="EA37" s="440"/>
      <c r="EB37" s="440"/>
      <c r="EC37" s="440"/>
      <c r="ED37" s="431"/>
      <c r="EE37" s="440"/>
      <c r="EF37" s="440"/>
      <c r="EG37" s="440"/>
      <c r="EH37" s="440"/>
      <c r="EI37" s="440"/>
      <c r="EJ37" s="440"/>
      <c r="EK37" s="431"/>
      <c r="EL37" s="440"/>
      <c r="EM37" s="440"/>
      <c r="EN37" s="440"/>
      <c r="EO37" s="440"/>
      <c r="EP37" s="440"/>
      <c r="EQ37" s="440"/>
      <c r="ER37" s="431"/>
      <c r="ES37" s="440"/>
      <c r="ET37" s="440"/>
      <c r="EU37" s="440"/>
      <c r="EV37" s="440"/>
      <c r="EW37" s="440"/>
      <c r="EX37" s="440"/>
      <c r="EY37" s="431"/>
      <c r="EZ37" s="440"/>
      <c r="FA37" s="440"/>
      <c r="FB37" s="440"/>
      <c r="FC37" s="440"/>
      <c r="FD37" s="440"/>
      <c r="FE37" s="440"/>
      <c r="FF37" s="431"/>
      <c r="FG37" s="440"/>
      <c r="FH37" s="440"/>
      <c r="FI37" s="440"/>
      <c r="FJ37" s="440"/>
      <c r="FK37" s="440"/>
      <c r="FL37" s="440"/>
      <c r="FM37" s="431"/>
      <c r="FN37" s="440"/>
      <c r="FO37" s="440"/>
      <c r="FP37" s="440"/>
      <c r="FQ37" s="440"/>
      <c r="FR37" s="440"/>
      <c r="FS37" s="440"/>
      <c r="FT37" s="431"/>
      <c r="FU37" s="440"/>
      <c r="FV37" s="440"/>
      <c r="FW37" s="440"/>
      <c r="FX37" s="440"/>
      <c r="FY37" s="440"/>
      <c r="FZ37" s="440"/>
      <c r="GA37" s="431"/>
      <c r="GB37" s="440"/>
      <c r="GC37" s="440"/>
      <c r="GD37" s="440"/>
      <c r="GE37" s="440"/>
      <c r="GF37" s="440"/>
      <c r="GG37" s="440"/>
      <c r="GH37" s="431"/>
      <c r="GI37" s="440"/>
      <c r="GJ37" s="440"/>
      <c r="GK37" s="440"/>
      <c r="GL37" s="440"/>
      <c r="GM37" s="440"/>
      <c r="GN37" s="440"/>
      <c r="GO37" s="431"/>
      <c r="GP37" s="440"/>
      <c r="GQ37" s="440"/>
      <c r="GR37" s="440"/>
      <c r="GS37" s="440"/>
      <c r="GT37" s="440"/>
      <c r="GU37" s="440"/>
      <c r="GV37" s="431"/>
      <c r="GW37" s="440"/>
      <c r="GX37" s="440"/>
      <c r="GY37" s="440"/>
      <c r="GZ37" s="440"/>
      <c r="HA37" s="440"/>
      <c r="HB37" s="440"/>
      <c r="HC37" s="431"/>
      <c r="HD37" s="440"/>
      <c r="HE37" s="440"/>
      <c r="HF37" s="440"/>
      <c r="HG37" s="440"/>
      <c r="HH37" s="440"/>
      <c r="HI37" s="440"/>
      <c r="HJ37" s="431"/>
      <c r="HK37" s="440"/>
      <c r="HL37" s="440"/>
      <c r="HM37" s="440"/>
      <c r="HN37" s="440"/>
      <c r="HO37" s="440"/>
      <c r="HP37" s="440"/>
      <c r="HQ37" s="431"/>
      <c r="HR37" s="440"/>
      <c r="HS37" s="440"/>
      <c r="HT37" s="440"/>
      <c r="HU37" s="440"/>
      <c r="HV37" s="440"/>
      <c r="HW37" s="440"/>
      <c r="HX37" s="431"/>
      <c r="HY37" s="440"/>
      <c r="HZ37" s="440"/>
      <c r="IA37" s="440"/>
      <c r="IB37" s="440"/>
      <c r="IC37" s="440"/>
      <c r="ID37" s="440"/>
      <c r="IE37" s="431"/>
      <c r="IF37" s="440"/>
      <c r="IG37" s="440"/>
      <c r="IH37" s="440"/>
      <c r="II37" s="440"/>
      <c r="IJ37" s="440"/>
      <c r="IK37" s="440"/>
      <c r="IL37" s="431"/>
      <c r="IM37" s="440"/>
      <c r="IN37" s="440"/>
      <c r="IO37" s="440"/>
      <c r="IP37" s="440"/>
      <c r="IQ37" s="440"/>
      <c r="IR37" s="440"/>
      <c r="IS37" s="431"/>
      <c r="IT37" s="440"/>
      <c r="IU37" s="440"/>
      <c r="IV37" s="440"/>
    </row>
    <row r="38" spans="1:56" s="2" customFormat="1" ht="15">
      <c r="A38" s="514" t="s">
        <v>307</v>
      </c>
      <c r="B38" s="515"/>
      <c r="C38" s="515"/>
      <c r="D38" s="515"/>
      <c r="E38" s="515"/>
      <c r="F38" s="515"/>
      <c r="G38" s="51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</row>
    <row r="39" spans="1:56" s="2" customFormat="1" ht="41.25" customHeight="1">
      <c r="A39" s="515" t="s">
        <v>312</v>
      </c>
      <c r="B39" s="515"/>
      <c r="C39" s="515"/>
      <c r="D39" s="515"/>
      <c r="E39" s="515"/>
      <c r="F39" s="515"/>
      <c r="G39" s="51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</row>
    <row r="40" spans="1:56" s="2" customFormat="1" ht="40.5" customHeight="1">
      <c r="A40" s="515" t="s">
        <v>535</v>
      </c>
      <c r="B40" s="515"/>
      <c r="C40" s="515"/>
      <c r="D40" s="515"/>
      <c r="E40" s="515"/>
      <c r="F40" s="515"/>
      <c r="G40" s="51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</row>
    <row r="41" spans="1:56" s="2" customFormat="1" ht="15">
      <c r="A41" s="514" t="s">
        <v>308</v>
      </c>
      <c r="B41" s="515"/>
      <c r="C41" s="515"/>
      <c r="D41" s="515"/>
      <c r="E41" s="515"/>
      <c r="F41" s="515"/>
      <c r="G41" s="51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</row>
    <row r="42" spans="1:56" s="2" customFormat="1" ht="30" customHeight="1">
      <c r="A42" s="515" t="s">
        <v>309</v>
      </c>
      <c r="B42" s="515"/>
      <c r="C42" s="515"/>
      <c r="D42" s="515"/>
      <c r="E42" s="515"/>
      <c r="F42" s="515"/>
      <c r="G42" s="51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</row>
    <row r="43" spans="1:56" s="2" customFormat="1" ht="37.5" customHeight="1">
      <c r="A43" s="515" t="s">
        <v>311</v>
      </c>
      <c r="B43" s="515"/>
      <c r="C43" s="515"/>
      <c r="D43" s="515"/>
      <c r="E43" s="515"/>
      <c r="F43" s="515"/>
      <c r="G43" s="51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</row>
    <row r="44" spans="1:56" s="2" customFormat="1" ht="15">
      <c r="A44" s="73" t="s">
        <v>313</v>
      </c>
      <c r="B44" s="73"/>
      <c r="C44" s="73"/>
      <c r="D44" s="73"/>
      <c r="E44" s="73"/>
      <c r="F44" s="73"/>
      <c r="G44" s="73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</row>
    <row r="45" spans="1:56" s="2" customFormat="1" ht="25.5" customHeight="1">
      <c r="A45" s="527" t="s">
        <v>314</v>
      </c>
      <c r="B45" s="527"/>
      <c r="C45" s="527"/>
      <c r="D45" s="527"/>
      <c r="E45" s="527"/>
      <c r="F45" s="527"/>
      <c r="G45" s="527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</row>
    <row r="46" spans="1:56" s="2" customFormat="1" ht="29.25" customHeight="1">
      <c r="A46" s="515" t="s">
        <v>540</v>
      </c>
      <c r="B46" s="515"/>
      <c r="C46" s="515"/>
      <c r="D46" s="515"/>
      <c r="E46" s="515"/>
      <c r="F46" s="515"/>
      <c r="G46" s="51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</row>
    <row r="47" spans="1:56" s="2" customFormat="1" ht="15">
      <c r="A47" s="528" t="s">
        <v>526</v>
      </c>
      <c r="B47" s="528"/>
      <c r="C47" s="528"/>
      <c r="D47" s="528"/>
      <c r="E47" s="528"/>
      <c r="F47" s="528"/>
      <c r="G47" s="528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</row>
    <row r="48" spans="1:56" s="2" customFormat="1" ht="15">
      <c r="A48" s="528" t="s">
        <v>538</v>
      </c>
      <c r="B48" s="528"/>
      <c r="C48" s="528"/>
      <c r="D48" s="528"/>
      <c r="E48" s="528"/>
      <c r="F48" s="528"/>
      <c r="G48" s="528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</row>
    <row r="49" spans="1:56" s="2" customFormat="1" ht="15">
      <c r="A49" s="528" t="s">
        <v>539</v>
      </c>
      <c r="B49" s="528"/>
      <c r="C49" s="528"/>
      <c r="D49" s="528"/>
      <c r="E49" s="528"/>
      <c r="F49" s="528"/>
      <c r="G49" s="528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</row>
    <row r="50" spans="1:56" s="2" customFormat="1" ht="15">
      <c r="A50" s="130" t="s">
        <v>514</v>
      </c>
      <c r="B50" s="73"/>
      <c r="C50" s="73"/>
      <c r="D50" s="73"/>
      <c r="E50" s="73"/>
      <c r="F50" s="73"/>
      <c r="G50" s="73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</row>
    <row r="51" spans="1:56" s="2" customFormat="1" ht="15">
      <c r="A51" s="73" t="s">
        <v>315</v>
      </c>
      <c r="B51" s="73"/>
      <c r="C51" s="73"/>
      <c r="D51" s="73"/>
      <c r="E51" s="73"/>
      <c r="F51" s="73"/>
      <c r="G51" s="73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</row>
    <row r="52" spans="1:56" s="2" customFormat="1" ht="15">
      <c r="A52" s="130" t="s">
        <v>536</v>
      </c>
      <c r="B52" s="73"/>
      <c r="C52" s="73"/>
      <c r="D52" s="73"/>
      <c r="E52" s="73"/>
      <c r="F52" s="73"/>
      <c r="G52" s="73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</row>
    <row r="53" spans="1:56" s="2" customFormat="1" ht="15" customHeight="1" hidden="1">
      <c r="A53" s="515" t="s">
        <v>537</v>
      </c>
      <c r="B53" s="515"/>
      <c r="C53" s="515"/>
      <c r="D53" s="515"/>
      <c r="E53" s="515"/>
      <c r="F53" s="515"/>
      <c r="G53" s="515"/>
      <c r="H53" s="125"/>
      <c r="I53" s="525"/>
      <c r="J53" s="525"/>
      <c r="K53" s="525"/>
      <c r="L53" s="525"/>
      <c r="M53" s="525"/>
      <c r="N53" s="525"/>
      <c r="O53" s="5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</row>
    <row r="54" spans="1:56" s="2" customFormat="1" ht="15">
      <c r="A54" s="526" t="s">
        <v>316</v>
      </c>
      <c r="B54" s="526"/>
      <c r="C54" s="526"/>
      <c r="D54" s="526"/>
      <c r="E54" s="526"/>
      <c r="F54" s="526"/>
      <c r="G54" s="526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</row>
    <row r="55" spans="1:56" s="2" customFormat="1" ht="15">
      <c r="A55" s="528" t="s">
        <v>318</v>
      </c>
      <c r="B55" s="528"/>
      <c r="C55" s="528"/>
      <c r="D55" s="528"/>
      <c r="E55" s="528"/>
      <c r="F55" s="528"/>
      <c r="G55" s="528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</row>
    <row r="56" spans="1:56" s="2" customFormat="1" ht="15">
      <c r="A56" s="528" t="s">
        <v>319</v>
      </c>
      <c r="B56" s="528"/>
      <c r="C56" s="528"/>
      <c r="D56" s="528"/>
      <c r="E56" s="528"/>
      <c r="F56" s="528"/>
      <c r="G56" s="528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</row>
    <row r="57" spans="1:56" s="2" customFormat="1" ht="15">
      <c r="A57" s="528" t="s">
        <v>521</v>
      </c>
      <c r="B57" s="528"/>
      <c r="C57" s="528"/>
      <c r="D57" s="528"/>
      <c r="E57" s="528"/>
      <c r="F57" s="528"/>
      <c r="G57" s="528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</row>
    <row r="58" spans="1:56" s="2" customFormat="1" ht="15">
      <c r="A58" s="528" t="s">
        <v>317</v>
      </c>
      <c r="B58" s="528"/>
      <c r="C58" s="528"/>
      <c r="D58" s="528"/>
      <c r="E58" s="528"/>
      <c r="F58" s="528"/>
      <c r="G58" s="528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</row>
    <row r="59" spans="1:56" s="2" customFormat="1" ht="15">
      <c r="A59" s="516" t="s">
        <v>320</v>
      </c>
      <c r="B59" s="516"/>
      <c r="C59" s="516"/>
      <c r="D59" s="516"/>
      <c r="E59" s="516"/>
      <c r="F59" s="516"/>
      <c r="G59" s="516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</row>
    <row r="60" spans="1:56" s="2" customFormat="1" ht="87" customHeight="1">
      <c r="A60" s="515" t="s">
        <v>1154</v>
      </c>
      <c r="B60" s="515"/>
      <c r="C60" s="515"/>
      <c r="D60" s="515"/>
      <c r="E60" s="515"/>
      <c r="F60" s="515"/>
      <c r="G60" s="51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</row>
    <row r="61" spans="1:56" s="2" customFormat="1" ht="15">
      <c r="A61" s="514" t="s">
        <v>650</v>
      </c>
      <c r="B61" s="515"/>
      <c r="C61" s="515"/>
      <c r="D61" s="515"/>
      <c r="E61" s="515"/>
      <c r="F61" s="515"/>
      <c r="G61" s="51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</row>
    <row r="62" spans="1:56" s="2" customFormat="1" ht="14.25" customHeight="1">
      <c r="A62" s="515" t="s">
        <v>1130</v>
      </c>
      <c r="B62" s="515"/>
      <c r="C62" s="515"/>
      <c r="D62" s="515"/>
      <c r="E62" s="515"/>
      <c r="F62" s="515"/>
      <c r="G62" s="51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</row>
    <row r="63" spans="1:56" s="2" customFormat="1" ht="13.5" customHeight="1">
      <c r="A63" s="515" t="s">
        <v>1131</v>
      </c>
      <c r="B63" s="515"/>
      <c r="C63" s="515"/>
      <c r="D63" s="515"/>
      <c r="E63" s="515"/>
      <c r="F63" s="515"/>
      <c r="G63" s="51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</row>
    <row r="64" spans="1:56" s="2" customFormat="1" ht="15">
      <c r="A64" s="515" t="s">
        <v>1132</v>
      </c>
      <c r="B64" s="515"/>
      <c r="C64" s="515"/>
      <c r="D64" s="515"/>
      <c r="E64" s="515"/>
      <c r="F64" s="515"/>
      <c r="G64" s="51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</row>
    <row r="65" spans="1:56" s="2" customFormat="1" ht="15">
      <c r="A65" s="529" t="s">
        <v>1134</v>
      </c>
      <c r="B65" s="529"/>
      <c r="C65" s="529"/>
      <c r="D65" s="529"/>
      <c r="E65" s="529"/>
      <c r="F65" s="529"/>
      <c r="G65" s="529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</row>
    <row r="66" spans="1:56" s="2" customFormat="1" ht="27.75" customHeight="1">
      <c r="A66" s="515" t="s">
        <v>1133</v>
      </c>
      <c r="B66" s="515"/>
      <c r="C66" s="515"/>
      <c r="D66" s="515"/>
      <c r="E66" s="515"/>
      <c r="F66" s="515"/>
      <c r="G66" s="51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</row>
    <row r="67" spans="1:56" s="2" customFormat="1" ht="15" customHeight="1" hidden="1">
      <c r="A67" s="515" t="s">
        <v>1380</v>
      </c>
      <c r="B67" s="515"/>
      <c r="C67" s="515"/>
      <c r="D67" s="515"/>
      <c r="E67" s="515"/>
      <c r="F67" s="515"/>
      <c r="G67" s="51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</row>
    <row r="68" spans="1:56" s="2" customFormat="1" ht="76.5" customHeight="1">
      <c r="A68" s="440" t="s">
        <v>1135</v>
      </c>
      <c r="B68" s="440"/>
      <c r="C68" s="440"/>
      <c r="D68" s="440"/>
      <c r="E68" s="440"/>
      <c r="F68" s="440"/>
      <c r="G68" s="440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</row>
    <row r="69" spans="1:56" s="2" customFormat="1" ht="15" customHeight="1">
      <c r="A69" s="529" t="s">
        <v>1136</v>
      </c>
      <c r="B69" s="529"/>
      <c r="C69" s="529"/>
      <c r="D69" s="529"/>
      <c r="E69" s="529"/>
      <c r="F69" s="529"/>
      <c r="G69" s="529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</row>
    <row r="70" spans="1:56" s="2" customFormat="1" ht="30.75" customHeight="1">
      <c r="A70" s="515" t="s">
        <v>1137</v>
      </c>
      <c r="B70" s="515"/>
      <c r="C70" s="515"/>
      <c r="D70" s="515"/>
      <c r="E70" s="515"/>
      <c r="F70" s="515"/>
      <c r="G70" s="51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</row>
    <row r="71" spans="1:56" s="2" customFormat="1" ht="57.75" customHeight="1">
      <c r="A71" s="515" t="s">
        <v>580</v>
      </c>
      <c r="B71" s="515"/>
      <c r="C71" s="515"/>
      <c r="D71" s="515"/>
      <c r="E71" s="515"/>
      <c r="F71" s="515"/>
      <c r="G71" s="51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</row>
    <row r="72" spans="1:56" s="2" customFormat="1" ht="15">
      <c r="A72" s="515" t="s">
        <v>581</v>
      </c>
      <c r="B72" s="515"/>
      <c r="C72" s="515"/>
      <c r="D72" s="515"/>
      <c r="E72" s="515"/>
      <c r="F72" s="515"/>
      <c r="G72" s="51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</row>
    <row r="73" spans="1:56" s="2" customFormat="1" ht="58.5" customHeight="1">
      <c r="A73" s="515" t="s">
        <v>582</v>
      </c>
      <c r="B73" s="515"/>
      <c r="C73" s="515"/>
      <c r="D73" s="515"/>
      <c r="E73" s="515"/>
      <c r="F73" s="515"/>
      <c r="G73" s="51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</row>
    <row r="74" spans="1:56" s="2" customFormat="1" ht="57.75" customHeight="1">
      <c r="A74" s="515" t="s">
        <v>583</v>
      </c>
      <c r="B74" s="515"/>
      <c r="C74" s="515"/>
      <c r="D74" s="515"/>
      <c r="E74" s="515"/>
      <c r="F74" s="515"/>
      <c r="G74" s="51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</row>
    <row r="75" spans="1:56" s="2" customFormat="1" ht="15">
      <c r="A75" s="531" t="s">
        <v>1138</v>
      </c>
      <c r="B75" s="531"/>
      <c r="C75" s="531"/>
      <c r="D75" s="531"/>
      <c r="E75" s="531"/>
      <c r="F75" s="531"/>
      <c r="G75" s="531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</row>
    <row r="76" spans="1:56" s="2" customFormat="1" ht="33.75" customHeight="1">
      <c r="A76" s="515" t="s">
        <v>1139</v>
      </c>
      <c r="B76" s="515"/>
      <c r="C76" s="515"/>
      <c r="D76" s="515"/>
      <c r="E76" s="515"/>
      <c r="F76" s="515"/>
      <c r="G76" s="51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</row>
    <row r="77" spans="1:56" s="2" customFormat="1" ht="27.75" customHeight="1">
      <c r="A77" s="531" t="s">
        <v>1414</v>
      </c>
      <c r="B77" s="531"/>
      <c r="C77" s="531"/>
      <c r="D77" s="531"/>
      <c r="E77" s="531"/>
      <c r="F77" s="531"/>
      <c r="G77" s="531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</row>
    <row r="78" spans="1:56" s="2" customFormat="1" ht="15">
      <c r="A78" s="531" t="s">
        <v>0</v>
      </c>
      <c r="B78" s="531"/>
      <c r="C78" s="531"/>
      <c r="D78" s="531"/>
      <c r="E78" s="531"/>
      <c r="F78" s="531"/>
      <c r="G78" s="531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</row>
    <row r="79" spans="1:56" s="2" customFormat="1" ht="15">
      <c r="A79" s="128"/>
      <c r="B79" s="128"/>
      <c r="C79" s="128"/>
      <c r="D79" s="128"/>
      <c r="E79" s="128"/>
      <c r="F79" s="128"/>
      <c r="G79" s="128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</row>
    <row r="80" spans="1:56" s="2" customFormat="1" ht="15">
      <c r="A80" s="530" t="s">
        <v>541</v>
      </c>
      <c r="B80" s="530"/>
      <c r="C80" s="530"/>
      <c r="D80" s="530"/>
      <c r="E80" s="530"/>
      <c r="F80" s="530"/>
      <c r="G80" s="530"/>
      <c r="H80" s="125" t="s">
        <v>542</v>
      </c>
      <c r="I80" s="125" t="s">
        <v>543</v>
      </c>
      <c r="J80" s="125" t="s">
        <v>544</v>
      </c>
      <c r="K80" s="125" t="s">
        <v>545</v>
      </c>
      <c r="L80" s="125" t="s">
        <v>546</v>
      </c>
      <c r="M80" s="125" t="s">
        <v>547</v>
      </c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</row>
    <row r="81" spans="1:56" s="2" customFormat="1" ht="15">
      <c r="A81" s="531" t="s">
        <v>1027</v>
      </c>
      <c r="B81" s="531"/>
      <c r="C81" s="531"/>
      <c r="D81" s="531"/>
      <c r="E81" s="128"/>
      <c r="F81" s="132" t="s">
        <v>1141</v>
      </c>
      <c r="G81" s="132" t="s">
        <v>1120</v>
      </c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</row>
    <row r="82" spans="1:56" s="2" customFormat="1" ht="15">
      <c r="A82" s="531" t="s">
        <v>1028</v>
      </c>
      <c r="B82" s="531"/>
      <c r="C82" s="531"/>
      <c r="D82" s="531"/>
      <c r="E82" s="128"/>
      <c r="F82" s="133">
        <v>2047339262</v>
      </c>
      <c r="G82" s="133">
        <v>1628940323</v>
      </c>
      <c r="H82" s="134">
        <f>227593740+85000000</f>
        <v>312593740</v>
      </c>
      <c r="I82" s="125">
        <v>193334711</v>
      </c>
      <c r="J82" s="125">
        <v>732260029</v>
      </c>
      <c r="K82" s="125">
        <v>625707514</v>
      </c>
      <c r="L82" s="125">
        <v>172479431</v>
      </c>
      <c r="M82" s="125">
        <v>95963837</v>
      </c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</row>
    <row r="83" spans="1:56" s="2" customFormat="1" ht="15">
      <c r="A83" s="529" t="s">
        <v>1029</v>
      </c>
      <c r="B83" s="531"/>
      <c r="C83" s="531"/>
      <c r="D83" s="531"/>
      <c r="E83" s="128"/>
      <c r="F83" s="133">
        <v>5872734796</v>
      </c>
      <c r="G83" s="133">
        <v>5141945835</v>
      </c>
      <c r="H83" s="125">
        <v>514539783</v>
      </c>
      <c r="I83" s="125">
        <v>345477537</v>
      </c>
      <c r="J83" s="125">
        <v>754832880</v>
      </c>
      <c r="K83" s="125">
        <v>743653318</v>
      </c>
      <c r="L83" s="125">
        <f>2784982269+119575210</f>
        <v>2904557479</v>
      </c>
      <c r="M83" s="125">
        <v>729249009</v>
      </c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</row>
    <row r="84" spans="1:56" s="2" customFormat="1" ht="15" customHeight="1" hidden="1">
      <c r="A84" s="529" t="s">
        <v>1030</v>
      </c>
      <c r="B84" s="531"/>
      <c r="C84" s="531"/>
      <c r="D84" s="531"/>
      <c r="E84" s="128"/>
      <c r="F84" s="135"/>
      <c r="G84" s="13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</row>
    <row r="85" spans="1:56" s="2" customFormat="1" ht="15" hidden="1">
      <c r="A85" s="529" t="s">
        <v>1031</v>
      </c>
      <c r="B85" s="531"/>
      <c r="C85" s="531"/>
      <c r="D85" s="531"/>
      <c r="E85" s="128"/>
      <c r="F85" s="135"/>
      <c r="G85" s="13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</row>
    <row r="86" spans="1:56" s="2" customFormat="1" ht="15">
      <c r="A86" s="529" t="s">
        <v>1030</v>
      </c>
      <c r="B86" s="531"/>
      <c r="C86" s="531"/>
      <c r="D86" s="531"/>
      <c r="E86" s="128"/>
      <c r="F86" s="133">
        <v>204575210</v>
      </c>
      <c r="G86" s="133">
        <v>59400000</v>
      </c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</row>
    <row r="87" spans="1:56" s="1" customFormat="1" ht="15.75">
      <c r="A87" s="532" t="s">
        <v>1116</v>
      </c>
      <c r="B87" s="532"/>
      <c r="C87" s="532"/>
      <c r="D87" s="532"/>
      <c r="E87" s="131"/>
      <c r="F87" s="137">
        <f>+SUM(F82:F86)</f>
        <v>8124649268</v>
      </c>
      <c r="G87" s="137">
        <f>+SUM(G82:G86)</f>
        <v>6830286158</v>
      </c>
      <c r="H87" s="138">
        <f aca="true" t="shared" si="0" ref="H87:M87">+SUM(H82:H85)</f>
        <v>827133523</v>
      </c>
      <c r="I87" s="138">
        <f t="shared" si="0"/>
        <v>538812248</v>
      </c>
      <c r="J87" s="138">
        <f t="shared" si="0"/>
        <v>1487092909</v>
      </c>
      <c r="K87" s="138">
        <f t="shared" si="0"/>
        <v>1369360832</v>
      </c>
      <c r="L87" s="138">
        <f t="shared" si="0"/>
        <v>3077036910</v>
      </c>
      <c r="M87" s="138">
        <f t="shared" si="0"/>
        <v>825212846</v>
      </c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</row>
    <row r="88" spans="1:56" s="1" customFormat="1" ht="15.75">
      <c r="A88" s="136"/>
      <c r="B88" s="136"/>
      <c r="C88" s="136"/>
      <c r="D88" s="136"/>
      <c r="E88" s="131"/>
      <c r="F88" s="137"/>
      <c r="G88" s="137"/>
      <c r="H88" s="138"/>
      <c r="I88" s="138"/>
      <c r="J88" s="138"/>
      <c r="K88" s="138"/>
      <c r="L88" s="138"/>
      <c r="M88" s="138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</row>
    <row r="89" spans="1:56" s="2" customFormat="1" ht="15">
      <c r="A89" s="531" t="s">
        <v>548</v>
      </c>
      <c r="B89" s="531"/>
      <c r="C89" s="531"/>
      <c r="D89" s="531"/>
      <c r="E89" s="128"/>
      <c r="F89" s="132" t="s">
        <v>1141</v>
      </c>
      <c r="G89" s="132" t="s">
        <v>1120</v>
      </c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</row>
    <row r="90" spans="1:56" s="2" customFormat="1" ht="15">
      <c r="A90" s="529" t="s">
        <v>549</v>
      </c>
      <c r="B90" s="531"/>
      <c r="C90" s="531"/>
      <c r="D90" s="531"/>
      <c r="E90" s="128"/>
      <c r="F90" s="133"/>
      <c r="G90" s="133"/>
      <c r="H90" s="134">
        <f>227593740+85000000</f>
        <v>312593740</v>
      </c>
      <c r="I90" s="125">
        <v>193334711</v>
      </c>
      <c r="J90" s="125">
        <v>732260029</v>
      </c>
      <c r="K90" s="125">
        <v>625707514</v>
      </c>
      <c r="L90" s="125">
        <v>172479431</v>
      </c>
      <c r="M90" s="125">
        <v>95963837</v>
      </c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</row>
    <row r="91" spans="1:56" s="2" customFormat="1" ht="15">
      <c r="A91" s="529" t="s">
        <v>550</v>
      </c>
      <c r="B91" s="531"/>
      <c r="C91" s="531"/>
      <c r="D91" s="531"/>
      <c r="E91" s="128"/>
      <c r="F91" s="133"/>
      <c r="G91" s="133"/>
      <c r="H91" s="125">
        <v>514539783</v>
      </c>
      <c r="I91" s="125">
        <v>345477537</v>
      </c>
      <c r="J91" s="125">
        <v>754832880</v>
      </c>
      <c r="K91" s="125">
        <v>743653318</v>
      </c>
      <c r="L91" s="125">
        <f>2784982269+119575210</f>
        <v>2904557479</v>
      </c>
      <c r="M91" s="125">
        <v>729249009</v>
      </c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</row>
    <row r="92" spans="1:56" s="2" customFormat="1" ht="15" customHeight="1" hidden="1">
      <c r="A92" s="529" t="s">
        <v>1030</v>
      </c>
      <c r="B92" s="531"/>
      <c r="C92" s="531"/>
      <c r="D92" s="531"/>
      <c r="E92" s="128"/>
      <c r="F92" s="135"/>
      <c r="G92" s="13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</row>
    <row r="93" spans="1:56" s="2" customFormat="1" ht="15" hidden="1">
      <c r="A93" s="529" t="s">
        <v>1031</v>
      </c>
      <c r="B93" s="531"/>
      <c r="C93" s="531"/>
      <c r="D93" s="531"/>
      <c r="E93" s="128"/>
      <c r="F93" s="135"/>
      <c r="G93" s="13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</row>
    <row r="94" spans="1:56" s="2" customFormat="1" ht="15">
      <c r="A94" s="529" t="s">
        <v>551</v>
      </c>
      <c r="B94" s="531"/>
      <c r="C94" s="531"/>
      <c r="D94" s="531"/>
      <c r="E94" s="128"/>
      <c r="F94" s="133"/>
      <c r="G94" s="133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</row>
    <row r="95" spans="1:56" s="1" customFormat="1" ht="15.75">
      <c r="A95" s="532" t="s">
        <v>1116</v>
      </c>
      <c r="B95" s="532"/>
      <c r="C95" s="532"/>
      <c r="D95" s="532"/>
      <c r="E95" s="131"/>
      <c r="F95" s="137">
        <f>+SUM(F90:F94)</f>
        <v>0</v>
      </c>
      <c r="G95" s="137">
        <f>+SUM(G90:G94)</f>
        <v>0</v>
      </c>
      <c r="H95" s="138">
        <f aca="true" t="shared" si="1" ref="H95:M95">+SUM(H90:H93)</f>
        <v>827133523</v>
      </c>
      <c r="I95" s="138">
        <f t="shared" si="1"/>
        <v>538812248</v>
      </c>
      <c r="J95" s="138">
        <f t="shared" si="1"/>
        <v>1487092909</v>
      </c>
      <c r="K95" s="138">
        <f t="shared" si="1"/>
        <v>1369360832</v>
      </c>
      <c r="L95" s="138">
        <f t="shared" si="1"/>
        <v>3077036910</v>
      </c>
      <c r="M95" s="138">
        <f t="shared" si="1"/>
        <v>825212846</v>
      </c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</row>
    <row r="96" spans="1:56" s="1" customFormat="1" ht="15.75">
      <c r="A96" s="136"/>
      <c r="B96" s="136"/>
      <c r="C96" s="136"/>
      <c r="D96" s="136"/>
      <c r="E96" s="131"/>
      <c r="F96" s="137"/>
      <c r="G96" s="137"/>
      <c r="H96" s="138"/>
      <c r="I96" s="138"/>
      <c r="J96" s="138"/>
      <c r="K96" s="138"/>
      <c r="L96" s="138"/>
      <c r="M96" s="138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</row>
    <row r="97" spans="1:56" s="2" customFormat="1" ht="15">
      <c r="A97" s="531" t="s">
        <v>552</v>
      </c>
      <c r="B97" s="531"/>
      <c r="C97" s="531"/>
      <c r="D97" s="531"/>
      <c r="E97" s="128"/>
      <c r="F97" s="132" t="s">
        <v>1141</v>
      </c>
      <c r="G97" s="132" t="s">
        <v>1120</v>
      </c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</row>
    <row r="98" spans="1:56" s="2" customFormat="1" ht="15">
      <c r="A98" s="531" t="s">
        <v>1033</v>
      </c>
      <c r="B98" s="531"/>
      <c r="C98" s="531"/>
      <c r="D98" s="531"/>
      <c r="E98" s="128"/>
      <c r="F98" s="94">
        <v>52850917523</v>
      </c>
      <c r="G98" s="94">
        <v>47672603692</v>
      </c>
      <c r="H98" s="125">
        <v>4966561380</v>
      </c>
      <c r="I98" s="125">
        <v>14908361121</v>
      </c>
      <c r="J98" s="125">
        <v>7283763364</v>
      </c>
      <c r="K98" s="125">
        <v>7680512202</v>
      </c>
      <c r="L98" s="125">
        <v>12170692890</v>
      </c>
      <c r="M98" s="125">
        <v>5940105672</v>
      </c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</row>
    <row r="99" spans="1:56" s="2" customFormat="1" ht="15">
      <c r="A99" s="531" t="s">
        <v>1123</v>
      </c>
      <c r="B99" s="531"/>
      <c r="C99" s="531"/>
      <c r="D99" s="531"/>
      <c r="E99" s="128"/>
      <c r="F99" s="94">
        <v>11041259510</v>
      </c>
      <c r="G99" s="94">
        <v>3115459433</v>
      </c>
      <c r="H99" s="125">
        <v>9490885385</v>
      </c>
      <c r="I99" s="125">
        <v>226876607</v>
      </c>
      <c r="J99" s="125">
        <v>261837997</v>
      </c>
      <c r="K99" s="125">
        <v>630760270</v>
      </c>
      <c r="L99" s="125">
        <v>428631251</v>
      </c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</row>
    <row r="100" spans="1:56" s="2" customFormat="1" ht="15" hidden="1">
      <c r="A100" s="531" t="s">
        <v>1124</v>
      </c>
      <c r="B100" s="531"/>
      <c r="C100" s="531"/>
      <c r="D100" s="531"/>
      <c r="E100" s="128"/>
      <c r="F100" s="94"/>
      <c r="G100" s="97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</row>
    <row r="101" spans="1:56" s="2" customFormat="1" ht="15" customHeight="1" hidden="1">
      <c r="A101" s="531" t="s">
        <v>1034</v>
      </c>
      <c r="B101" s="531"/>
      <c r="C101" s="531"/>
      <c r="D101" s="531"/>
      <c r="E101" s="128"/>
      <c r="F101" s="94"/>
      <c r="G101" s="97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</row>
    <row r="102" spans="1:56" s="2" customFormat="1" ht="15">
      <c r="A102" s="531" t="s">
        <v>1035</v>
      </c>
      <c r="B102" s="531"/>
      <c r="C102" s="531"/>
      <c r="D102" s="531"/>
      <c r="E102" s="128"/>
      <c r="F102" s="94">
        <f>+SUM(F103:F107)</f>
        <v>5793021054</v>
      </c>
      <c r="G102" s="94">
        <f>+SUM(G104:G107)</f>
        <v>5541021529</v>
      </c>
      <c r="H102" s="134">
        <f aca="true" t="shared" si="2" ref="H102:M102">+SUM(H104:H107)</f>
        <v>3405892575</v>
      </c>
      <c r="I102" s="134">
        <f t="shared" si="2"/>
        <v>249852082</v>
      </c>
      <c r="J102" s="134">
        <f t="shared" si="2"/>
        <v>672597241</v>
      </c>
      <c r="K102" s="134">
        <f t="shared" si="2"/>
        <v>67188867</v>
      </c>
      <c r="L102" s="134">
        <f t="shared" si="2"/>
        <v>517027013</v>
      </c>
      <c r="M102" s="134">
        <f t="shared" si="2"/>
        <v>406232178</v>
      </c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</row>
    <row r="103" spans="1:56" s="2" customFormat="1" ht="15">
      <c r="A103" s="529" t="s">
        <v>1066</v>
      </c>
      <c r="B103" s="531"/>
      <c r="C103" s="531"/>
      <c r="D103" s="531"/>
      <c r="E103" s="128"/>
      <c r="F103" s="94">
        <v>359502533</v>
      </c>
      <c r="G103" s="94"/>
      <c r="H103" s="134"/>
      <c r="I103" s="134"/>
      <c r="J103" s="134"/>
      <c r="K103" s="134"/>
      <c r="L103" s="134"/>
      <c r="M103" s="134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</row>
    <row r="104" spans="1:56" s="2" customFormat="1" ht="15">
      <c r="A104" s="531" t="s">
        <v>1036</v>
      </c>
      <c r="B104" s="531"/>
      <c r="C104" s="531"/>
      <c r="D104" s="531"/>
      <c r="E104" s="128"/>
      <c r="F104" s="94">
        <v>2128677836</v>
      </c>
      <c r="G104" s="94">
        <v>1407431622</v>
      </c>
      <c r="H104" s="125">
        <v>726202547</v>
      </c>
      <c r="I104" s="125">
        <f>216500000-9000000</f>
        <v>207500000</v>
      </c>
      <c r="J104" s="125">
        <v>550993732</v>
      </c>
      <c r="K104" s="125">
        <v>67188867</v>
      </c>
      <c r="L104" s="125">
        <v>509828613</v>
      </c>
      <c r="M104" s="125">
        <f>95406444-1288840</f>
        <v>94117604</v>
      </c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</row>
    <row r="105" spans="1:56" s="2" customFormat="1" ht="15" hidden="1">
      <c r="A105" s="531" t="s">
        <v>1037</v>
      </c>
      <c r="B105" s="531"/>
      <c r="C105" s="531"/>
      <c r="D105" s="531"/>
      <c r="E105" s="128"/>
      <c r="F105" s="94">
        <f>SUM(H105:M105)</f>
        <v>0</v>
      </c>
      <c r="G105" s="94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</row>
    <row r="106" spans="1:56" s="2" customFormat="1" ht="15">
      <c r="A106" s="531" t="s">
        <v>1038</v>
      </c>
      <c r="B106" s="531"/>
      <c r="C106" s="531"/>
      <c r="D106" s="531"/>
      <c r="E106" s="128"/>
      <c r="F106" s="94">
        <f>SUM(H106:M106)</f>
        <v>30433125</v>
      </c>
      <c r="G106" s="94">
        <v>725763686</v>
      </c>
      <c r="H106" s="125">
        <v>433125</v>
      </c>
      <c r="I106" s="125"/>
      <c r="J106" s="125"/>
      <c r="K106" s="125"/>
      <c r="L106" s="125"/>
      <c r="M106" s="125">
        <v>30000000</v>
      </c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</row>
    <row r="107" spans="1:56" s="2" customFormat="1" ht="15">
      <c r="A107" s="531" t="s">
        <v>1039</v>
      </c>
      <c r="B107" s="531"/>
      <c r="C107" s="531"/>
      <c r="D107" s="531"/>
      <c r="E107" s="128"/>
      <c r="F107" s="94">
        <f>3199714335+74693225</f>
        <v>3274407560</v>
      </c>
      <c r="G107" s="94">
        <f>3303787112+104039109</f>
        <v>3407826221</v>
      </c>
      <c r="H107" s="125">
        <v>2679256903</v>
      </c>
      <c r="I107" s="125">
        <v>42352082</v>
      </c>
      <c r="J107" s="125">
        <v>121603509</v>
      </c>
      <c r="K107" s="125"/>
      <c r="L107" s="125">
        <v>7198400</v>
      </c>
      <c r="M107" s="125">
        <v>282114574</v>
      </c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</row>
    <row r="108" spans="1:56" s="2" customFormat="1" ht="15">
      <c r="A108" s="531" t="s">
        <v>1040</v>
      </c>
      <c r="B108" s="531"/>
      <c r="C108" s="531"/>
      <c r="D108" s="531"/>
      <c r="E108" s="128"/>
      <c r="F108" s="94">
        <v>-2638874221</v>
      </c>
      <c r="G108" s="94">
        <v>-2638874221</v>
      </c>
      <c r="H108" s="125">
        <v>-1977665221</v>
      </c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</row>
    <row r="109" spans="1:56" s="2" customFormat="1" ht="15" customHeight="1" hidden="1">
      <c r="A109" s="531" t="s">
        <v>1041</v>
      </c>
      <c r="B109" s="531"/>
      <c r="C109" s="531"/>
      <c r="D109" s="531"/>
      <c r="E109" s="128"/>
      <c r="F109" s="94"/>
      <c r="G109" s="97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</row>
    <row r="110" spans="1:56" s="2" customFormat="1" ht="15">
      <c r="A110" s="532" t="s">
        <v>1116</v>
      </c>
      <c r="B110" s="532"/>
      <c r="C110" s="532"/>
      <c r="D110" s="532"/>
      <c r="E110" s="128"/>
      <c r="F110" s="96">
        <f aca="true" t="shared" si="3" ref="F110:M110">+SUM(F98:F102)+F108+F109</f>
        <v>67046323866</v>
      </c>
      <c r="G110" s="96">
        <f t="shared" si="3"/>
        <v>53690210433</v>
      </c>
      <c r="H110" s="138">
        <f t="shared" si="3"/>
        <v>15885674119</v>
      </c>
      <c r="I110" s="138">
        <f t="shared" si="3"/>
        <v>15385089810</v>
      </c>
      <c r="J110" s="138">
        <f t="shared" si="3"/>
        <v>8218198602</v>
      </c>
      <c r="K110" s="138">
        <f t="shared" si="3"/>
        <v>8378461339</v>
      </c>
      <c r="L110" s="138">
        <f t="shared" si="3"/>
        <v>13116351154</v>
      </c>
      <c r="M110" s="138">
        <f t="shared" si="3"/>
        <v>6346337850</v>
      </c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</row>
    <row r="111" spans="1:56" s="2" customFormat="1" ht="15.75">
      <c r="A111" s="136"/>
      <c r="B111" s="136"/>
      <c r="C111" s="136"/>
      <c r="D111" s="136"/>
      <c r="E111" s="128"/>
      <c r="F111" s="137"/>
      <c r="G111" s="137"/>
      <c r="H111" s="138"/>
      <c r="I111" s="138"/>
      <c r="J111" s="138"/>
      <c r="K111" s="138"/>
      <c r="L111" s="138"/>
      <c r="M111" s="138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</row>
    <row r="112" spans="1:56" s="2" customFormat="1" ht="15">
      <c r="A112" s="531" t="s">
        <v>553</v>
      </c>
      <c r="B112" s="531"/>
      <c r="C112" s="531"/>
      <c r="D112" s="531"/>
      <c r="E112" s="128"/>
      <c r="F112" s="132" t="s">
        <v>1141</v>
      </c>
      <c r="G112" s="132" t="s">
        <v>1120</v>
      </c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</row>
    <row r="113" spans="1:56" s="2" customFormat="1" ht="15">
      <c r="A113" s="531" t="s">
        <v>1043</v>
      </c>
      <c r="B113" s="531"/>
      <c r="C113" s="531"/>
      <c r="D113" s="531"/>
      <c r="E113" s="128"/>
      <c r="F113" s="94">
        <f>SUM(H113:M113)</f>
        <v>496738796</v>
      </c>
      <c r="G113" s="94">
        <v>704741863</v>
      </c>
      <c r="H113" s="125"/>
      <c r="I113" s="125"/>
      <c r="J113" s="125"/>
      <c r="K113" s="125"/>
      <c r="L113" s="125"/>
      <c r="M113" s="125">
        <v>496738796</v>
      </c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</row>
    <row r="114" spans="1:56" s="2" customFormat="1" ht="15">
      <c r="A114" s="531" t="s">
        <v>1044</v>
      </c>
      <c r="B114" s="531"/>
      <c r="C114" s="531"/>
      <c r="D114" s="531"/>
      <c r="E114" s="128"/>
      <c r="F114" s="94">
        <f aca="true" t="shared" si="4" ref="F114:F119">SUM(H114:M114)</f>
        <v>6418312122</v>
      </c>
      <c r="G114" s="94">
        <v>11550244538</v>
      </c>
      <c r="H114" s="125"/>
      <c r="I114" s="125">
        <f>3989005499-300638</f>
        <v>3988704861</v>
      </c>
      <c r="J114" s="125"/>
      <c r="K114" s="125">
        <v>2391836925</v>
      </c>
      <c r="L114" s="125">
        <v>24592007</v>
      </c>
      <c r="M114" s="125">
        <v>13178329</v>
      </c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</row>
    <row r="115" spans="1:56" s="2" customFormat="1" ht="15">
      <c r="A115" s="531" t="s">
        <v>1045</v>
      </c>
      <c r="B115" s="531"/>
      <c r="C115" s="531"/>
      <c r="D115" s="531"/>
      <c r="E115" s="128"/>
      <c r="F115" s="94">
        <f t="shared" si="4"/>
        <v>339837269</v>
      </c>
      <c r="G115" s="94">
        <v>350819040</v>
      </c>
      <c r="H115" s="125"/>
      <c r="I115" s="125"/>
      <c r="J115" s="125"/>
      <c r="K115" s="125">
        <v>281107180</v>
      </c>
      <c r="L115" s="125">
        <v>19941519</v>
      </c>
      <c r="M115" s="125">
        <v>38788570</v>
      </c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</row>
    <row r="116" spans="1:56" s="2" customFormat="1" ht="15">
      <c r="A116" s="531" t="s">
        <v>1046</v>
      </c>
      <c r="B116" s="531"/>
      <c r="C116" s="531"/>
      <c r="D116" s="531"/>
      <c r="E116" s="128"/>
      <c r="F116" s="94">
        <f t="shared" si="4"/>
        <v>312914849</v>
      </c>
      <c r="G116" s="94">
        <v>760714984</v>
      </c>
      <c r="H116" s="125"/>
      <c r="I116" s="125"/>
      <c r="J116" s="125"/>
      <c r="K116" s="125"/>
      <c r="L116" s="125"/>
      <c r="M116" s="125">
        <v>312914849</v>
      </c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</row>
    <row r="117" spans="1:56" s="2" customFormat="1" ht="15" customHeight="1" hidden="1">
      <c r="A117" s="531" t="s">
        <v>1047</v>
      </c>
      <c r="B117" s="531"/>
      <c r="C117" s="531"/>
      <c r="D117" s="531"/>
      <c r="E117" s="128"/>
      <c r="F117" s="94">
        <f t="shared" si="4"/>
        <v>0</v>
      </c>
      <c r="G117" s="94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</row>
    <row r="118" spans="1:56" s="2" customFormat="1" ht="15">
      <c r="A118" s="531" t="s">
        <v>1048</v>
      </c>
      <c r="B118" s="531"/>
      <c r="C118" s="531"/>
      <c r="D118" s="531"/>
      <c r="E118" s="128"/>
      <c r="F118" s="94">
        <f t="shared" si="4"/>
        <v>10112098925</v>
      </c>
      <c r="G118" s="94">
        <f>9053430784+829096528</f>
        <v>9882527312</v>
      </c>
      <c r="H118" s="125">
        <v>58823971</v>
      </c>
      <c r="I118" s="125"/>
      <c r="J118" s="125"/>
      <c r="K118" s="125">
        <f>7520073207+209784883</f>
        <v>7729858090</v>
      </c>
      <c r="L118" s="125">
        <v>4825753</v>
      </c>
      <c r="M118" s="125">
        <v>2318591111</v>
      </c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</row>
    <row r="119" spans="1:56" s="2" customFormat="1" ht="15">
      <c r="A119" s="529" t="s">
        <v>1049</v>
      </c>
      <c r="B119" s="531"/>
      <c r="C119" s="531"/>
      <c r="D119" s="531"/>
      <c r="E119" s="128"/>
      <c r="F119" s="94">
        <f t="shared" si="4"/>
        <v>879501421</v>
      </c>
      <c r="G119" s="98"/>
      <c r="H119" s="125"/>
      <c r="I119" s="125"/>
      <c r="J119" s="125"/>
      <c r="K119" s="125">
        <v>879501421</v>
      </c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</row>
    <row r="120" spans="1:56" s="2" customFormat="1" ht="15" customHeight="1">
      <c r="A120" s="532" t="s">
        <v>1116</v>
      </c>
      <c r="B120" s="532"/>
      <c r="C120" s="532"/>
      <c r="D120" s="532"/>
      <c r="E120" s="128"/>
      <c r="F120" s="96">
        <f>+SUM(F113:F119)</f>
        <v>18559403382</v>
      </c>
      <c r="G120" s="96">
        <f aca="true" t="shared" si="5" ref="G120:N120">+SUM(G113:G119)</f>
        <v>23249047737</v>
      </c>
      <c r="H120" s="138">
        <f t="shared" si="5"/>
        <v>58823971</v>
      </c>
      <c r="I120" s="138">
        <f t="shared" si="5"/>
        <v>3988704861</v>
      </c>
      <c r="J120" s="138">
        <f t="shared" si="5"/>
        <v>0</v>
      </c>
      <c r="K120" s="138">
        <f t="shared" si="5"/>
        <v>11282303616</v>
      </c>
      <c r="L120" s="138">
        <f t="shared" si="5"/>
        <v>49359279</v>
      </c>
      <c r="M120" s="138">
        <f t="shared" si="5"/>
        <v>3180211655</v>
      </c>
      <c r="N120" s="138">
        <f t="shared" si="5"/>
        <v>0</v>
      </c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</row>
    <row r="121" spans="1:56" s="2" customFormat="1" ht="15" hidden="1">
      <c r="A121" s="529" t="s">
        <v>1051</v>
      </c>
      <c r="B121" s="531"/>
      <c r="C121" s="531"/>
      <c r="D121" s="531"/>
      <c r="E121" s="128"/>
      <c r="F121" s="141"/>
      <c r="G121" s="141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</row>
    <row r="122" spans="1:56" s="2" customFormat="1" ht="15" customHeight="1" hidden="1">
      <c r="A122" s="529" t="s">
        <v>1052</v>
      </c>
      <c r="B122" s="531"/>
      <c r="C122" s="531"/>
      <c r="D122" s="531"/>
      <c r="E122" s="128"/>
      <c r="F122" s="141"/>
      <c r="G122" s="141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</row>
    <row r="123" spans="1:56" s="2" customFormat="1" ht="15" customHeight="1" hidden="1">
      <c r="A123" s="533" t="s">
        <v>1053</v>
      </c>
      <c r="B123" s="533"/>
      <c r="C123" s="533"/>
      <c r="D123" s="533"/>
      <c r="E123" s="533"/>
      <c r="F123" s="141"/>
      <c r="G123" s="141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</row>
    <row r="124" spans="1:56" s="2" customFormat="1" ht="15" hidden="1">
      <c r="A124" s="533" t="s">
        <v>1054</v>
      </c>
      <c r="B124" s="533"/>
      <c r="C124" s="533"/>
      <c r="D124" s="533"/>
      <c r="E124" s="533"/>
      <c r="F124" s="141"/>
      <c r="G124" s="141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</row>
    <row r="125" spans="1:56" s="2" customFormat="1" ht="15" customHeight="1" hidden="1">
      <c r="A125" s="533" t="s">
        <v>1055</v>
      </c>
      <c r="B125" s="533"/>
      <c r="C125" s="533"/>
      <c r="D125" s="533"/>
      <c r="E125" s="533"/>
      <c r="F125" s="141"/>
      <c r="G125" s="141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</row>
    <row r="126" spans="1:56" s="2" customFormat="1" ht="15">
      <c r="A126" s="142"/>
      <c r="B126" s="142"/>
      <c r="C126" s="142"/>
      <c r="D126" s="142"/>
      <c r="E126" s="142"/>
      <c r="F126" s="141"/>
      <c r="G126" s="141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</row>
    <row r="127" spans="1:56" s="2" customFormat="1" ht="15">
      <c r="A127" s="531" t="s">
        <v>554</v>
      </c>
      <c r="B127" s="531"/>
      <c r="C127" s="531"/>
      <c r="D127" s="531"/>
      <c r="E127" s="142"/>
      <c r="F127" s="132" t="s">
        <v>1141</v>
      </c>
      <c r="G127" s="132" t="s">
        <v>1120</v>
      </c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</row>
    <row r="128" spans="1:56" s="2" customFormat="1" ht="15">
      <c r="A128" s="533" t="s">
        <v>1057</v>
      </c>
      <c r="B128" s="533"/>
      <c r="C128" s="533"/>
      <c r="D128" s="533"/>
      <c r="E128" s="533"/>
      <c r="F128" s="94">
        <v>464781342</v>
      </c>
      <c r="G128" s="94">
        <v>29019000</v>
      </c>
      <c r="H128" s="125">
        <v>490927604</v>
      </c>
      <c r="I128" s="125"/>
      <c r="J128" s="125"/>
      <c r="K128" s="125"/>
      <c r="L128" s="125"/>
      <c r="M128" s="125">
        <v>66892355</v>
      </c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</row>
    <row r="129" spans="1:56" s="2" customFormat="1" ht="15">
      <c r="A129" s="533" t="s">
        <v>1058</v>
      </c>
      <c r="B129" s="533"/>
      <c r="C129" s="533"/>
      <c r="D129" s="533"/>
      <c r="E129" s="533"/>
      <c r="F129" s="94"/>
      <c r="G129" s="94">
        <v>57888662</v>
      </c>
      <c r="H129" s="125">
        <v>2872738</v>
      </c>
      <c r="I129" s="125"/>
      <c r="J129" s="125"/>
      <c r="K129" s="125"/>
      <c r="L129" s="125">
        <v>2000000</v>
      </c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</row>
    <row r="130" spans="1:56" s="2" customFormat="1" ht="15" hidden="1">
      <c r="A130" s="533" t="s">
        <v>1059</v>
      </c>
      <c r="B130" s="533"/>
      <c r="C130" s="533"/>
      <c r="D130" s="533"/>
      <c r="E130" s="533"/>
      <c r="F130" s="94">
        <f>SUM(H130:M130)</f>
        <v>0</v>
      </c>
      <c r="G130" s="98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</row>
    <row r="131" spans="1:56" s="2" customFormat="1" ht="15" hidden="1">
      <c r="A131" s="142" t="s">
        <v>1060</v>
      </c>
      <c r="B131" s="142"/>
      <c r="C131" s="142"/>
      <c r="D131" s="142"/>
      <c r="E131" s="142"/>
      <c r="F131" s="94">
        <f>SUM(H131:M131)</f>
        <v>0</v>
      </c>
      <c r="G131" s="98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</row>
    <row r="132" spans="1:56" s="2" customFormat="1" ht="15">
      <c r="A132" s="532" t="s">
        <v>1116</v>
      </c>
      <c r="B132" s="532"/>
      <c r="C132" s="532"/>
      <c r="D132" s="532"/>
      <c r="E132" s="142"/>
      <c r="F132" s="96">
        <f aca="true" t="shared" si="6" ref="F132:M132">+SUM(F128:F131)</f>
        <v>464781342</v>
      </c>
      <c r="G132" s="96">
        <f t="shared" si="6"/>
        <v>86907662</v>
      </c>
      <c r="H132" s="138">
        <f t="shared" si="6"/>
        <v>493800342</v>
      </c>
      <c r="I132" s="138">
        <f t="shared" si="6"/>
        <v>0</v>
      </c>
      <c r="J132" s="138">
        <f t="shared" si="6"/>
        <v>0</v>
      </c>
      <c r="K132" s="138">
        <f t="shared" si="6"/>
        <v>0</v>
      </c>
      <c r="L132" s="138">
        <f t="shared" si="6"/>
        <v>2000000</v>
      </c>
      <c r="M132" s="138">
        <f t="shared" si="6"/>
        <v>66892355</v>
      </c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</row>
    <row r="133" spans="1:56" s="2" customFormat="1" ht="15">
      <c r="A133" s="531" t="s">
        <v>555</v>
      </c>
      <c r="B133" s="531"/>
      <c r="C133" s="531"/>
      <c r="D133" s="531"/>
      <c r="E133" s="142"/>
      <c r="F133" s="132" t="s">
        <v>1141</v>
      </c>
      <c r="G133" s="132" t="s">
        <v>1120</v>
      </c>
      <c r="H133" s="138"/>
      <c r="I133" s="138"/>
      <c r="J133" s="138"/>
      <c r="K133" s="138"/>
      <c r="L133" s="138"/>
      <c r="M133" s="138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</row>
    <row r="134" spans="1:56" s="2" customFormat="1" ht="15.75">
      <c r="A134" s="533" t="s">
        <v>556</v>
      </c>
      <c r="B134" s="533"/>
      <c r="C134" s="533"/>
      <c r="D134" s="533"/>
      <c r="E134" s="533"/>
      <c r="F134" s="137"/>
      <c r="G134" s="137"/>
      <c r="H134" s="138"/>
      <c r="I134" s="138"/>
      <c r="J134" s="138"/>
      <c r="K134" s="138"/>
      <c r="L134" s="138"/>
      <c r="M134" s="138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</row>
    <row r="135" spans="1:56" s="2" customFormat="1" ht="15.75">
      <c r="A135" s="533" t="s">
        <v>557</v>
      </c>
      <c r="B135" s="533"/>
      <c r="C135" s="533"/>
      <c r="D135" s="533"/>
      <c r="E135" s="533"/>
      <c r="F135" s="137"/>
      <c r="G135" s="137"/>
      <c r="H135" s="138"/>
      <c r="I135" s="138"/>
      <c r="J135" s="138"/>
      <c r="K135" s="138"/>
      <c r="L135" s="138"/>
      <c r="M135" s="138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</row>
    <row r="136" spans="1:56" s="2" customFormat="1" ht="15.75">
      <c r="A136" s="532" t="s">
        <v>1116</v>
      </c>
      <c r="B136" s="532"/>
      <c r="C136" s="532"/>
      <c r="D136" s="532"/>
      <c r="E136" s="142"/>
      <c r="F136" s="137"/>
      <c r="G136" s="137"/>
      <c r="H136" s="138"/>
      <c r="I136" s="138"/>
      <c r="J136" s="138"/>
      <c r="K136" s="138"/>
      <c r="L136" s="138"/>
      <c r="M136" s="138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</row>
    <row r="137" spans="1:56" s="2" customFormat="1" ht="15.75">
      <c r="A137" s="136"/>
      <c r="B137" s="136"/>
      <c r="C137" s="136"/>
      <c r="D137" s="136"/>
      <c r="E137" s="142"/>
      <c r="F137" s="137"/>
      <c r="G137" s="137"/>
      <c r="H137" s="138"/>
      <c r="I137" s="138"/>
      <c r="J137" s="138"/>
      <c r="K137" s="138"/>
      <c r="L137" s="138"/>
      <c r="M137" s="138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6"/>
    </row>
    <row r="138" spans="1:56" s="2" customFormat="1" ht="15">
      <c r="A138" s="531" t="s">
        <v>558</v>
      </c>
      <c r="B138" s="531"/>
      <c r="C138" s="531"/>
      <c r="D138" s="531"/>
      <c r="E138" s="142"/>
      <c r="F138" s="132" t="s">
        <v>1141</v>
      </c>
      <c r="G138" s="132" t="s">
        <v>1120</v>
      </c>
      <c r="H138" s="138"/>
      <c r="I138" s="138"/>
      <c r="J138" s="138"/>
      <c r="K138" s="138"/>
      <c r="L138" s="138"/>
      <c r="M138" s="138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6"/>
      <c r="BD138" s="126"/>
    </row>
    <row r="139" spans="1:56" s="2" customFormat="1" ht="15">
      <c r="A139" s="531" t="s">
        <v>559</v>
      </c>
      <c r="B139" s="531"/>
      <c r="C139" s="531"/>
      <c r="D139" s="531"/>
      <c r="E139" s="142"/>
      <c r="F139" s="94">
        <v>153687944</v>
      </c>
      <c r="G139" s="94">
        <v>134465526</v>
      </c>
      <c r="H139" s="138"/>
      <c r="I139" s="138"/>
      <c r="J139" s="138"/>
      <c r="K139" s="138"/>
      <c r="L139" s="138"/>
      <c r="M139" s="138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</row>
    <row r="140" spans="1:56" s="2" customFormat="1" ht="15">
      <c r="A140" s="531" t="s">
        <v>560</v>
      </c>
      <c r="B140" s="531"/>
      <c r="C140" s="531"/>
      <c r="D140" s="531"/>
      <c r="E140" s="142"/>
      <c r="F140" s="96"/>
      <c r="G140" s="96"/>
      <c r="H140" s="138"/>
      <c r="I140" s="138"/>
      <c r="J140" s="138"/>
      <c r="K140" s="138"/>
      <c r="L140" s="138"/>
      <c r="M140" s="138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</row>
    <row r="141" spans="1:56" s="2" customFormat="1" ht="15">
      <c r="A141" s="531" t="s">
        <v>561</v>
      </c>
      <c r="B141" s="531"/>
      <c r="C141" s="531"/>
      <c r="D141" s="531"/>
      <c r="E141" s="142"/>
      <c r="F141" s="96"/>
      <c r="G141" s="96"/>
      <c r="H141" s="138"/>
      <c r="I141" s="138"/>
      <c r="J141" s="138"/>
      <c r="K141" s="138"/>
      <c r="L141" s="138"/>
      <c r="M141" s="138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</row>
    <row r="142" spans="1:56" s="2" customFormat="1" ht="15" hidden="1">
      <c r="A142" s="533" t="s">
        <v>1063</v>
      </c>
      <c r="B142" s="533"/>
      <c r="C142" s="533"/>
      <c r="D142" s="533"/>
      <c r="E142" s="533"/>
      <c r="F142" s="94">
        <f>SUM(H142:M142)</f>
        <v>0</v>
      </c>
      <c r="G142" s="94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</row>
    <row r="143" spans="1:56" s="2" customFormat="1" ht="15" hidden="1">
      <c r="A143" s="533" t="s">
        <v>1064</v>
      </c>
      <c r="B143" s="533"/>
      <c r="C143" s="533"/>
      <c r="D143" s="533"/>
      <c r="E143" s="533"/>
      <c r="F143" s="94">
        <f>SUM(H143:M143)</f>
        <v>0</v>
      </c>
      <c r="G143" s="94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</row>
    <row r="144" spans="1:56" s="2" customFormat="1" ht="15" hidden="1">
      <c r="A144" s="533" t="s">
        <v>1065</v>
      </c>
      <c r="B144" s="533"/>
      <c r="C144" s="533"/>
      <c r="D144" s="533"/>
      <c r="E144" s="533"/>
      <c r="F144" s="94">
        <f>SUM(H144:M144)</f>
        <v>0</v>
      </c>
      <c r="G144" s="94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</row>
    <row r="145" spans="1:56" s="2" customFormat="1" ht="15" hidden="1">
      <c r="A145" s="533" t="s">
        <v>1066</v>
      </c>
      <c r="B145" s="533"/>
      <c r="C145" s="533"/>
      <c r="D145" s="533"/>
      <c r="E145" s="533"/>
      <c r="F145" s="94">
        <f>SUM(H145:M145)</f>
        <v>0</v>
      </c>
      <c r="G145" s="94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</row>
    <row r="146" spans="1:56" s="2" customFormat="1" ht="15">
      <c r="A146" s="533" t="s">
        <v>1067</v>
      </c>
      <c r="B146" s="533"/>
      <c r="C146" s="533"/>
      <c r="D146" s="533"/>
      <c r="E146" s="533"/>
      <c r="F146" s="94">
        <v>177479106</v>
      </c>
      <c r="G146" s="94">
        <v>177479106</v>
      </c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</row>
    <row r="147" spans="1:56" s="2" customFormat="1" ht="15" hidden="1">
      <c r="A147" s="533" t="s">
        <v>1068</v>
      </c>
      <c r="B147" s="533"/>
      <c r="C147" s="533"/>
      <c r="D147" s="533"/>
      <c r="E147" s="533"/>
      <c r="F147" s="94"/>
      <c r="G147" s="94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</row>
    <row r="148" spans="1:56" s="2" customFormat="1" ht="15" hidden="1">
      <c r="A148" s="533" t="s">
        <v>136</v>
      </c>
      <c r="B148" s="533"/>
      <c r="C148" s="533"/>
      <c r="D148" s="533"/>
      <c r="E148" s="533"/>
      <c r="F148" s="94"/>
      <c r="G148" s="94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</row>
    <row r="149" spans="1:56" s="2" customFormat="1" ht="15">
      <c r="A149" s="532" t="s">
        <v>1116</v>
      </c>
      <c r="B149" s="532"/>
      <c r="C149" s="532"/>
      <c r="D149" s="532"/>
      <c r="E149" s="143"/>
      <c r="F149" s="96">
        <f>+SUM(F139:F148)</f>
        <v>331167050</v>
      </c>
      <c r="G149" s="96">
        <f>+SUM(G139:G148)</f>
        <v>311944632</v>
      </c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</row>
    <row r="150" spans="1:56" s="2" customFormat="1" ht="15.75" hidden="1">
      <c r="A150" s="136"/>
      <c r="B150" s="136"/>
      <c r="C150" s="136"/>
      <c r="D150" s="136"/>
      <c r="E150" s="143"/>
      <c r="F150" s="137"/>
      <c r="G150" s="141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</row>
    <row r="151" spans="1:56" s="2" customFormat="1" ht="15">
      <c r="A151" s="490" t="s">
        <v>562</v>
      </c>
      <c r="B151" s="490"/>
      <c r="C151" s="490"/>
      <c r="D151" s="490"/>
      <c r="E151" s="143"/>
      <c r="F151" s="141"/>
      <c r="G151" s="14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</row>
    <row r="152" spans="1:56" s="2" customFormat="1" ht="15.75">
      <c r="A152" s="146"/>
      <c r="B152" s="145"/>
      <c r="C152" s="145"/>
      <c r="D152" s="145"/>
      <c r="E152" s="145"/>
      <c r="F152" s="145"/>
      <c r="G152" s="147" t="s">
        <v>563</v>
      </c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</row>
    <row r="153" spans="1:56" s="70" customFormat="1" ht="15">
      <c r="A153" s="148" t="s">
        <v>138</v>
      </c>
      <c r="B153" s="149"/>
      <c r="C153" s="150" t="s">
        <v>564</v>
      </c>
      <c r="D153" s="151" t="s">
        <v>1110</v>
      </c>
      <c r="E153" s="151" t="s">
        <v>1216</v>
      </c>
      <c r="F153" s="151" t="s">
        <v>1215</v>
      </c>
      <c r="G153" s="502" t="s">
        <v>1119</v>
      </c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</row>
    <row r="154" spans="1:56" s="70" customFormat="1" ht="15">
      <c r="A154" s="153"/>
      <c r="B154" s="154"/>
      <c r="C154" s="155"/>
      <c r="D154" s="156" t="s">
        <v>1111</v>
      </c>
      <c r="E154" s="156" t="s">
        <v>1217</v>
      </c>
      <c r="F154" s="156" t="s">
        <v>1214</v>
      </c>
      <c r="G154" s="503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</row>
    <row r="155" spans="1:56" s="70" customFormat="1" ht="15">
      <c r="A155" s="488" t="s">
        <v>1118</v>
      </c>
      <c r="B155" s="489"/>
      <c r="C155" s="158">
        <v>1</v>
      </c>
      <c r="D155" s="158">
        <v>2</v>
      </c>
      <c r="E155" s="158">
        <v>3</v>
      </c>
      <c r="F155" s="158">
        <v>4</v>
      </c>
      <c r="G155" s="157" t="s">
        <v>1023</v>
      </c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</row>
    <row r="156" spans="1:56" s="2" customFormat="1" ht="15.75">
      <c r="A156" s="159" t="s">
        <v>139</v>
      </c>
      <c r="B156" s="160"/>
      <c r="C156" s="161"/>
      <c r="D156" s="161"/>
      <c r="E156" s="161"/>
      <c r="F156" s="161"/>
      <c r="G156" s="162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</row>
    <row r="157" spans="1:56" s="1" customFormat="1" ht="15.75">
      <c r="A157" s="166" t="s">
        <v>160</v>
      </c>
      <c r="B157" s="167"/>
      <c r="C157" s="204">
        <v>21385090412</v>
      </c>
      <c r="D157" s="205">
        <v>7138021848</v>
      </c>
      <c r="E157" s="205">
        <v>110841443002</v>
      </c>
      <c r="F157" s="206">
        <v>2227004516</v>
      </c>
      <c r="G157" s="207">
        <f aca="true" t="shared" si="7" ref="G157:G170">+F157+E157+D157+C157</f>
        <v>141591559778</v>
      </c>
      <c r="H157" s="139"/>
      <c r="I157" s="534"/>
      <c r="J157" s="534"/>
      <c r="K157" s="534"/>
      <c r="L157" s="534"/>
      <c r="M157" s="534"/>
      <c r="N157" s="534"/>
      <c r="O157" s="534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</row>
    <row r="158" spans="1:56" s="2" customFormat="1" ht="15">
      <c r="A158" s="163" t="s">
        <v>140</v>
      </c>
      <c r="B158" s="164"/>
      <c r="C158" s="100"/>
      <c r="D158" s="9">
        <v>19047619</v>
      </c>
      <c r="E158" s="39">
        <f>26340900+19563227</f>
        <v>45904127</v>
      </c>
      <c r="F158" s="9">
        <v>10436115</v>
      </c>
      <c r="G158" s="101">
        <f t="shared" si="7"/>
        <v>75387861</v>
      </c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</row>
    <row r="159" spans="1:56" s="2" customFormat="1" ht="15">
      <c r="A159" s="163" t="s">
        <v>141</v>
      </c>
      <c r="B159" s="164"/>
      <c r="C159" s="100"/>
      <c r="D159" s="9"/>
      <c r="E159" s="9"/>
      <c r="F159" s="9"/>
      <c r="G159" s="101">
        <f t="shared" si="7"/>
        <v>0</v>
      </c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</row>
    <row r="160" spans="1:56" s="2" customFormat="1" ht="15">
      <c r="A160" s="163" t="s">
        <v>142</v>
      </c>
      <c r="B160" s="164"/>
      <c r="C160" s="100"/>
      <c r="D160" s="9"/>
      <c r="E160" s="9"/>
      <c r="F160" s="9"/>
      <c r="G160" s="101">
        <f t="shared" si="7"/>
        <v>0</v>
      </c>
      <c r="H160" s="125"/>
      <c r="I160" s="125" t="s">
        <v>1142</v>
      </c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</row>
    <row r="161" spans="1:56" s="2" customFormat="1" ht="15">
      <c r="A161" s="163" t="s">
        <v>143</v>
      </c>
      <c r="B161" s="164"/>
      <c r="C161" s="100"/>
      <c r="D161" s="9"/>
      <c r="E161" s="9"/>
      <c r="F161" s="9"/>
      <c r="G161" s="101">
        <f t="shared" si="7"/>
        <v>0</v>
      </c>
      <c r="H161" s="125">
        <f>+F160-F163</f>
        <v>0</v>
      </c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</row>
    <row r="162" spans="1:56" s="2" customFormat="1" ht="15">
      <c r="A162" s="163" t="s">
        <v>144</v>
      </c>
      <c r="B162" s="164"/>
      <c r="C162" s="100"/>
      <c r="D162" s="9"/>
      <c r="E162" s="9"/>
      <c r="F162" s="9"/>
      <c r="G162" s="101">
        <f t="shared" si="7"/>
        <v>0</v>
      </c>
      <c r="H162" s="125"/>
      <c r="I162" s="165">
        <f>83000+44080693</f>
        <v>44163693</v>
      </c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</row>
    <row r="163" spans="1:56" s="2" customFormat="1" ht="15">
      <c r="A163" s="163" t="s">
        <v>145</v>
      </c>
      <c r="B163" s="164"/>
      <c r="C163" s="100"/>
      <c r="D163" s="9"/>
      <c r="E163" s="9"/>
      <c r="F163" s="9"/>
      <c r="G163" s="101">
        <f t="shared" si="7"/>
        <v>0</v>
      </c>
      <c r="H163" s="125"/>
      <c r="I163" s="165">
        <f>I166-G166</f>
        <v>-65615827039</v>
      </c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</row>
    <row r="164" spans="1:56" s="1" customFormat="1" ht="15.75">
      <c r="A164" s="166" t="s">
        <v>146</v>
      </c>
      <c r="B164" s="167"/>
      <c r="C164" s="43">
        <f>+C157+C158+C159+C160-C161-C162-C163</f>
        <v>21385090412</v>
      </c>
      <c r="D164" s="43">
        <f>+D157+D158+D159+D160-D161-D162-D163</f>
        <v>7157069467</v>
      </c>
      <c r="E164" s="43">
        <f>+E157+E158+E159+E160-E161-E162-E163</f>
        <v>110887347129</v>
      </c>
      <c r="F164" s="43">
        <f>+F157+F158+F159+F160-F161-F162-F163</f>
        <v>2237440631</v>
      </c>
      <c r="G164" s="207">
        <f t="shared" si="7"/>
        <v>141666947639</v>
      </c>
      <c r="H164" s="139"/>
      <c r="I164" s="181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</row>
    <row r="165" spans="1:56" s="2" customFormat="1" ht="15.75">
      <c r="A165" s="166" t="s">
        <v>147</v>
      </c>
      <c r="B165" s="167"/>
      <c r="C165" s="204"/>
      <c r="D165" s="9"/>
      <c r="E165" s="9"/>
      <c r="F165" s="9"/>
      <c r="G165" s="101">
        <f t="shared" si="7"/>
        <v>0</v>
      </c>
      <c r="H165" s="125"/>
      <c r="I165" s="16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</row>
    <row r="166" spans="1:56" s="1" customFormat="1" ht="15.75">
      <c r="A166" s="166" t="s">
        <v>160</v>
      </c>
      <c r="B166" s="167"/>
      <c r="C166" s="204">
        <v>1975725852</v>
      </c>
      <c r="D166" s="205">
        <v>2573779772</v>
      </c>
      <c r="E166" s="205">
        <v>59844042424</v>
      </c>
      <c r="F166" s="205">
        <v>1850642084</v>
      </c>
      <c r="G166" s="207">
        <f t="shared" si="7"/>
        <v>66244190132</v>
      </c>
      <c r="H166" s="139"/>
      <c r="I166" s="181">
        <f>628363093</f>
        <v>628363093</v>
      </c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</row>
    <row r="167" spans="1:56" s="1" customFormat="1" ht="15.75">
      <c r="A167" s="163" t="s">
        <v>148</v>
      </c>
      <c r="B167" s="164"/>
      <c r="C167" s="100">
        <f>1266728708/4</f>
        <v>316682177</v>
      </c>
      <c r="D167" s="9">
        <f>210741428+41402020</f>
        <v>252143448</v>
      </c>
      <c r="E167" s="9">
        <f>6130124034+110359023+200000000</f>
        <v>6440483057</v>
      </c>
      <c r="F167" s="9">
        <f>159481324+28274649+100000000</f>
        <v>287755973</v>
      </c>
      <c r="G167" s="101">
        <f t="shared" si="7"/>
        <v>7297064655</v>
      </c>
      <c r="H167" s="139"/>
      <c r="I167" s="165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</row>
    <row r="168" spans="1:56" s="1" customFormat="1" ht="15.75">
      <c r="A168" s="163" t="s">
        <v>142</v>
      </c>
      <c r="B168" s="164"/>
      <c r="C168" s="100"/>
      <c r="D168" s="100"/>
      <c r="E168" s="100"/>
      <c r="F168" s="9"/>
      <c r="G168" s="101">
        <f t="shared" si="7"/>
        <v>0</v>
      </c>
      <c r="H168" s="139"/>
      <c r="I168" s="165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</row>
    <row r="169" spans="1:56" s="1" customFormat="1" ht="15.75">
      <c r="A169" s="163" t="s">
        <v>144</v>
      </c>
      <c r="B169" s="164"/>
      <c r="C169" s="100"/>
      <c r="D169" s="100"/>
      <c r="E169" s="100"/>
      <c r="F169" s="100"/>
      <c r="G169" s="101">
        <f t="shared" si="7"/>
        <v>0</v>
      </c>
      <c r="H169" s="139"/>
      <c r="I169" s="165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</row>
    <row r="170" spans="1:56" s="1" customFormat="1" ht="15.75">
      <c r="A170" s="163" t="s">
        <v>145</v>
      </c>
      <c r="B170" s="164"/>
      <c r="C170" s="100"/>
      <c r="D170" s="100"/>
      <c r="E170" s="100"/>
      <c r="F170" s="9"/>
      <c r="G170" s="101">
        <f t="shared" si="7"/>
        <v>0</v>
      </c>
      <c r="H170" s="139"/>
      <c r="I170" s="165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</row>
    <row r="171" spans="1:56" s="1" customFormat="1" ht="18.75" customHeight="1">
      <c r="A171" s="166" t="s">
        <v>146</v>
      </c>
      <c r="B171" s="167"/>
      <c r="C171" s="206">
        <f>+C166+C167-C168-C169-C170</f>
        <v>2292408029</v>
      </c>
      <c r="D171" s="206">
        <f>+D166+D167-D168-D169-D170</f>
        <v>2825923220</v>
      </c>
      <c r="E171" s="206">
        <f>+E166+E167-E168-E169-E170</f>
        <v>66284525481</v>
      </c>
      <c r="F171" s="206">
        <f>+F166+F167-F168-F169-F170</f>
        <v>2138398057</v>
      </c>
      <c r="G171" s="206">
        <f>+G166+G167-G168-G169-G170</f>
        <v>73541254787</v>
      </c>
      <c r="H171" s="139">
        <f>+C171+D171+E171+F171</f>
        <v>73541254787</v>
      </c>
      <c r="I171" s="181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</row>
    <row r="172" spans="1:56" s="1" customFormat="1" ht="15.75">
      <c r="A172" s="168" t="s">
        <v>149</v>
      </c>
      <c r="B172" s="164"/>
      <c r="C172" s="100"/>
      <c r="D172" s="102"/>
      <c r="E172" s="102"/>
      <c r="F172" s="102"/>
      <c r="G172" s="101">
        <f>+F172+E172+D172</f>
        <v>0</v>
      </c>
      <c r="H172" s="139"/>
      <c r="I172" s="165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</row>
    <row r="173" spans="1:56" s="1" customFormat="1" ht="18.75" customHeight="1">
      <c r="A173" s="200" t="s">
        <v>150</v>
      </c>
      <c r="B173" s="201"/>
      <c r="C173" s="206">
        <f>+C157-C166</f>
        <v>19409364560</v>
      </c>
      <c r="D173" s="206">
        <f>+D157-D166</f>
        <v>4564242076</v>
      </c>
      <c r="E173" s="206">
        <f>+E157-E166</f>
        <v>50997400578</v>
      </c>
      <c r="F173" s="206">
        <f>+F157-F166</f>
        <v>376362432</v>
      </c>
      <c r="G173" s="206">
        <f>+G157-G166</f>
        <v>75347369646</v>
      </c>
      <c r="H173" s="139"/>
      <c r="I173" s="181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</row>
    <row r="174" spans="1:56" s="1" customFormat="1" ht="18.75" customHeight="1">
      <c r="A174" s="202" t="s">
        <v>153</v>
      </c>
      <c r="B174" s="203"/>
      <c r="C174" s="208">
        <f>+C164-C171</f>
        <v>19092682383</v>
      </c>
      <c r="D174" s="208">
        <f>+D164-D171</f>
        <v>4331146247</v>
      </c>
      <c r="E174" s="208">
        <f>+E164-E171</f>
        <v>44602821648</v>
      </c>
      <c r="F174" s="208">
        <f>+F164-F171</f>
        <v>99042574</v>
      </c>
      <c r="G174" s="208">
        <f>+G164-G171</f>
        <v>68125692852</v>
      </c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</row>
    <row r="175" spans="1:56" s="1" customFormat="1" ht="15.75">
      <c r="A175" s="169"/>
      <c r="B175" s="170"/>
      <c r="C175" s="170"/>
      <c r="D175" s="170"/>
      <c r="E175" s="170"/>
      <c r="F175" s="170"/>
      <c r="G175" s="170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</row>
    <row r="176" spans="1:56" s="1" customFormat="1" ht="15.75">
      <c r="A176" s="145" t="s">
        <v>154</v>
      </c>
      <c r="B176" s="171"/>
      <c r="C176" s="171"/>
      <c r="D176" s="171"/>
      <c r="E176" s="171"/>
      <c r="F176" s="171"/>
      <c r="G176" s="104">
        <f>+G174</f>
        <v>68125692852</v>
      </c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</row>
    <row r="177" spans="1:56" s="1" customFormat="1" ht="15.75">
      <c r="A177" s="173" t="s">
        <v>155</v>
      </c>
      <c r="B177" s="173"/>
      <c r="C177" s="173"/>
      <c r="D177" s="173"/>
      <c r="E177" s="173"/>
      <c r="F177" s="173"/>
      <c r="G177" s="173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</row>
    <row r="178" spans="1:56" s="1" customFormat="1" ht="15.75">
      <c r="A178" s="173" t="s">
        <v>156</v>
      </c>
      <c r="B178" s="173"/>
      <c r="C178" s="173"/>
      <c r="D178" s="173"/>
      <c r="E178" s="174"/>
      <c r="F178" s="119"/>
      <c r="G178" s="175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</row>
    <row r="179" spans="1:56" s="1" customFormat="1" ht="15.75">
      <c r="A179" s="173" t="s">
        <v>157</v>
      </c>
      <c r="B179" s="173"/>
      <c r="C179" s="173"/>
      <c r="D179" s="173"/>
      <c r="E179" s="173"/>
      <c r="F179" s="173"/>
      <c r="G179" s="176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</row>
    <row r="180" spans="1:56" s="1" customFormat="1" ht="15.75">
      <c r="A180" s="173"/>
      <c r="B180" s="173"/>
      <c r="C180" s="173"/>
      <c r="D180" s="173"/>
      <c r="E180" s="173"/>
      <c r="F180" s="173"/>
      <c r="G180" s="176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</row>
    <row r="181" spans="1:56" s="1" customFormat="1" ht="15.75" customHeight="1">
      <c r="A181" s="490" t="s">
        <v>565</v>
      </c>
      <c r="B181" s="490"/>
      <c r="C181" s="490"/>
      <c r="D181" s="490"/>
      <c r="E181" s="490"/>
      <c r="F181" s="490"/>
      <c r="G181" s="490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</row>
    <row r="182" spans="1:56" s="1" customFormat="1" ht="15.75">
      <c r="A182" s="144"/>
      <c r="B182" s="144"/>
      <c r="C182" s="144"/>
      <c r="D182" s="144"/>
      <c r="E182" s="122"/>
      <c r="F182" s="177"/>
      <c r="G182" s="147" t="s">
        <v>563</v>
      </c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</row>
    <row r="183" spans="1:56" s="1" customFormat="1" ht="15.75">
      <c r="A183" s="498" t="s">
        <v>138</v>
      </c>
      <c r="B183" s="537"/>
      <c r="C183" s="499"/>
      <c r="D183" s="151" t="s">
        <v>1110</v>
      </c>
      <c r="E183" s="151" t="s">
        <v>1216</v>
      </c>
      <c r="F183" s="151" t="s">
        <v>1215</v>
      </c>
      <c r="G183" s="502" t="s">
        <v>1119</v>
      </c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</row>
    <row r="184" spans="1:56" s="2" customFormat="1" ht="15.75">
      <c r="A184" s="500"/>
      <c r="B184" s="538"/>
      <c r="C184" s="501"/>
      <c r="D184" s="156" t="s">
        <v>1111</v>
      </c>
      <c r="E184" s="156" t="s">
        <v>1217</v>
      </c>
      <c r="F184" s="156" t="s">
        <v>1214</v>
      </c>
      <c r="G184" s="503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6"/>
      <c r="BD184" s="126"/>
    </row>
    <row r="185" spans="1:56" s="2" customFormat="1" ht="15">
      <c r="A185" s="504" t="s">
        <v>1118</v>
      </c>
      <c r="B185" s="505"/>
      <c r="C185" s="506"/>
      <c r="D185" s="158">
        <v>1</v>
      </c>
      <c r="E185" s="158">
        <v>2</v>
      </c>
      <c r="F185" s="158">
        <v>3</v>
      </c>
      <c r="G185" s="157" t="s">
        <v>657</v>
      </c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</row>
    <row r="186" spans="1:56" s="2" customFormat="1" ht="15.75">
      <c r="A186" s="159" t="s">
        <v>159</v>
      </c>
      <c r="B186" s="160"/>
      <c r="C186" s="160"/>
      <c r="D186" s="209"/>
      <c r="E186" s="209"/>
      <c r="F186" s="209"/>
      <c r="G186" s="210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</row>
    <row r="187" spans="1:56" s="1" customFormat="1" ht="15.75">
      <c r="A187" s="495" t="s">
        <v>160</v>
      </c>
      <c r="B187" s="496"/>
      <c r="C187" s="497"/>
      <c r="D187" s="205">
        <v>0</v>
      </c>
      <c r="E187" s="205">
        <v>3542701754</v>
      </c>
      <c r="F187" s="206">
        <v>0</v>
      </c>
      <c r="G187" s="207">
        <f>+F187+E187+D187</f>
        <v>3542701754</v>
      </c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</row>
    <row r="188" spans="1:56" s="2" customFormat="1" ht="15">
      <c r="A188" s="163" t="s">
        <v>161</v>
      </c>
      <c r="B188" s="164"/>
      <c r="C188" s="164"/>
      <c r="D188" s="9"/>
      <c r="E188" s="9">
        <v>2469582</v>
      </c>
      <c r="F188" s="9"/>
      <c r="G188" s="101">
        <f>+F188+E188+D188</f>
        <v>2469582</v>
      </c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</row>
    <row r="189" spans="1:56" s="2" customFormat="1" ht="15">
      <c r="A189" s="163" t="s">
        <v>162</v>
      </c>
      <c r="B189" s="164"/>
      <c r="C189" s="164"/>
      <c r="D189" s="9"/>
      <c r="E189" s="9">
        <v>0</v>
      </c>
      <c r="F189" s="9"/>
      <c r="G189" s="101">
        <f>+F189+E189+D189</f>
        <v>0</v>
      </c>
      <c r="H189" s="125"/>
      <c r="I189" s="125"/>
      <c r="J189" s="178">
        <f>463657440+9878328</f>
        <v>473535768</v>
      </c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</row>
    <row r="190" spans="1:56" s="2" customFormat="1" ht="15">
      <c r="A190" s="163" t="s">
        <v>163</v>
      </c>
      <c r="B190" s="164"/>
      <c r="C190" s="164"/>
      <c r="D190" s="9"/>
      <c r="E190" s="9"/>
      <c r="F190" s="9"/>
      <c r="G190" s="101">
        <f>+F190+E190+D190</f>
        <v>0</v>
      </c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6"/>
      <c r="BD190" s="126"/>
    </row>
    <row r="191" spans="1:56" s="1" customFormat="1" ht="15.75">
      <c r="A191" s="495" t="s">
        <v>146</v>
      </c>
      <c r="B191" s="496"/>
      <c r="C191" s="497"/>
      <c r="D191" s="43"/>
      <c r="E191" s="43">
        <f>+E187+E188-E189-E190</f>
        <v>3545171336</v>
      </c>
      <c r="F191" s="43">
        <f>+F187+F188-F189-F190</f>
        <v>0</v>
      </c>
      <c r="G191" s="43">
        <f>+G187+G188-G189-G190</f>
        <v>3545171336</v>
      </c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</row>
    <row r="192" spans="1:56" s="2" customFormat="1" ht="15.75">
      <c r="A192" s="492" t="s">
        <v>147</v>
      </c>
      <c r="B192" s="493"/>
      <c r="C192" s="494"/>
      <c r="D192" s="9"/>
      <c r="E192" s="9"/>
      <c r="F192" s="9"/>
      <c r="G192" s="101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</row>
    <row r="193" spans="1:56" s="1" customFormat="1" ht="15.75">
      <c r="A193" s="495" t="s">
        <v>160</v>
      </c>
      <c r="B193" s="496"/>
      <c r="C193" s="497"/>
      <c r="D193" s="205"/>
      <c r="E193" s="205">
        <v>561636290</v>
      </c>
      <c r="F193" s="205">
        <v>0</v>
      </c>
      <c r="G193" s="207">
        <f>+F193+E193+D193</f>
        <v>561636290</v>
      </c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</row>
    <row r="194" spans="1:56" s="2" customFormat="1" ht="15">
      <c r="A194" s="163" t="s">
        <v>148</v>
      </c>
      <c r="B194" s="164"/>
      <c r="C194" s="164"/>
      <c r="D194" s="9"/>
      <c r="E194" s="9">
        <f>95784312+79146772</f>
        <v>174931084</v>
      </c>
      <c r="F194" s="9"/>
      <c r="G194" s="101">
        <f>+F194+E194+D194</f>
        <v>174931084</v>
      </c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6"/>
      <c r="BD194" s="126"/>
    </row>
    <row r="195" spans="1:56" s="2" customFormat="1" ht="15">
      <c r="A195" s="163" t="s">
        <v>143</v>
      </c>
      <c r="B195" s="164"/>
      <c r="C195" s="164"/>
      <c r="D195" s="100"/>
      <c r="E195" s="100"/>
      <c r="F195" s="9"/>
      <c r="G195" s="101">
        <f>+F195+E195+D195</f>
        <v>0</v>
      </c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  <c r="BC195" s="126"/>
      <c r="BD195" s="126"/>
    </row>
    <row r="196" spans="1:56" s="2" customFormat="1" ht="15">
      <c r="A196" s="163" t="s">
        <v>144</v>
      </c>
      <c r="B196" s="164"/>
      <c r="C196" s="164"/>
      <c r="D196" s="100"/>
      <c r="E196" s="100"/>
      <c r="F196" s="100"/>
      <c r="G196" s="101">
        <f>+F196+E196+D196</f>
        <v>0</v>
      </c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  <c r="BC196" s="126"/>
      <c r="BD196" s="126"/>
    </row>
    <row r="197" spans="1:56" s="2" customFormat="1" ht="15">
      <c r="A197" s="163" t="s">
        <v>145</v>
      </c>
      <c r="B197" s="164"/>
      <c r="C197" s="164"/>
      <c r="D197" s="100"/>
      <c r="E197" s="100"/>
      <c r="F197" s="9"/>
      <c r="G197" s="101">
        <f>+F197+E197+D197</f>
        <v>0</v>
      </c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  <c r="BC197" s="126"/>
      <c r="BD197" s="126"/>
    </row>
    <row r="198" spans="1:56" s="1" customFormat="1" ht="15.75">
      <c r="A198" s="495" t="s">
        <v>146</v>
      </c>
      <c r="B198" s="496"/>
      <c r="C198" s="497"/>
      <c r="D198" s="206"/>
      <c r="E198" s="206">
        <f>+E193+E194-E195-E196-E197</f>
        <v>736567374</v>
      </c>
      <c r="F198" s="206">
        <f>+F193+F194-F195-F196-F197</f>
        <v>0</v>
      </c>
      <c r="G198" s="206">
        <f>+G193+G194-G195-G196-G197</f>
        <v>736567374</v>
      </c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</row>
    <row r="199" spans="1:256" s="14" customFormat="1" ht="15.75">
      <c r="A199" s="168" t="s">
        <v>164</v>
      </c>
      <c r="B199" s="164"/>
      <c r="C199" s="164"/>
      <c r="D199" s="102"/>
      <c r="E199" s="102"/>
      <c r="F199" s="102"/>
      <c r="G199" s="101">
        <f>+F199+E199+D199</f>
        <v>0</v>
      </c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39"/>
      <c r="T199" s="139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6"/>
      <c r="AK199" s="126"/>
      <c r="AL199" s="126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6"/>
      <c r="BB199" s="126"/>
      <c r="BC199" s="126"/>
      <c r="BD199" s="126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56" s="1" customFormat="1" ht="15.75">
      <c r="A200" s="200" t="s">
        <v>150</v>
      </c>
      <c r="B200" s="201"/>
      <c r="C200" s="201"/>
      <c r="D200" s="206">
        <v>0</v>
      </c>
      <c r="E200" s="206">
        <f>+E187-E193</f>
        <v>2981065464</v>
      </c>
      <c r="F200" s="206">
        <f>+F187-F193</f>
        <v>0</v>
      </c>
      <c r="G200" s="207">
        <f>+F200+E200+D200</f>
        <v>2981065464</v>
      </c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</row>
    <row r="201" spans="1:56" s="1" customFormat="1" ht="15.75">
      <c r="A201" s="202" t="s">
        <v>153</v>
      </c>
      <c r="B201" s="203"/>
      <c r="C201" s="203"/>
      <c r="D201" s="208"/>
      <c r="E201" s="208">
        <f>+E191-E198</f>
        <v>2808603962</v>
      </c>
      <c r="F201" s="208">
        <f>+F191-F198</f>
        <v>0</v>
      </c>
      <c r="G201" s="211">
        <f>+F201+E201+D201</f>
        <v>2808603962</v>
      </c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</row>
    <row r="202" spans="1:56" s="2" customFormat="1" ht="15" customHeight="1">
      <c r="A202" s="491" t="s">
        <v>566</v>
      </c>
      <c r="B202" s="491"/>
      <c r="C202" s="491"/>
      <c r="D202" s="491"/>
      <c r="E202" s="491"/>
      <c r="F202" s="491"/>
      <c r="G202" s="491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6"/>
      <c r="BD202" s="126"/>
    </row>
    <row r="203" spans="1:56" s="2" customFormat="1" ht="15.75">
      <c r="A203" s="146"/>
      <c r="B203" s="145"/>
      <c r="C203" s="145"/>
      <c r="D203" s="145"/>
      <c r="E203" s="145"/>
      <c r="F203" s="145"/>
      <c r="G203" s="147" t="s">
        <v>563</v>
      </c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6"/>
      <c r="BB203" s="126"/>
      <c r="BC203" s="126"/>
      <c r="BD203" s="126"/>
    </row>
    <row r="204" spans="1:56" s="70" customFormat="1" ht="15">
      <c r="A204" s="498" t="s">
        <v>138</v>
      </c>
      <c r="B204" s="499"/>
      <c r="C204" s="150" t="s">
        <v>567</v>
      </c>
      <c r="D204" s="151" t="s">
        <v>568</v>
      </c>
      <c r="E204" s="151" t="s">
        <v>569</v>
      </c>
      <c r="F204" s="151" t="s">
        <v>570</v>
      </c>
      <c r="G204" s="502" t="s">
        <v>1119</v>
      </c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</row>
    <row r="205" spans="1:56" s="70" customFormat="1" ht="15">
      <c r="A205" s="500"/>
      <c r="B205" s="501"/>
      <c r="C205" s="179" t="s">
        <v>571</v>
      </c>
      <c r="D205" s="156"/>
      <c r="E205" s="156" t="s">
        <v>572</v>
      </c>
      <c r="F205" s="156" t="s">
        <v>573</v>
      </c>
      <c r="G205" s="503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</row>
    <row r="206" spans="1:56" s="70" customFormat="1" ht="15">
      <c r="A206" s="488" t="s">
        <v>1118</v>
      </c>
      <c r="B206" s="489"/>
      <c r="C206" s="158">
        <v>1</v>
      </c>
      <c r="D206" s="158">
        <v>2</v>
      </c>
      <c r="E206" s="158">
        <v>3</v>
      </c>
      <c r="F206" s="158">
        <v>4</v>
      </c>
      <c r="G206" s="157" t="s">
        <v>1023</v>
      </c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</row>
    <row r="207" spans="1:56" s="2" customFormat="1" ht="15.75">
      <c r="A207" s="159" t="s">
        <v>574</v>
      </c>
      <c r="B207" s="160"/>
      <c r="C207" s="209"/>
      <c r="D207" s="209"/>
      <c r="E207" s="209"/>
      <c r="F207" s="209"/>
      <c r="G207" s="210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</row>
    <row r="208" spans="1:56" s="1" customFormat="1" ht="15.75">
      <c r="A208" s="166" t="s">
        <v>160</v>
      </c>
      <c r="B208" s="167"/>
      <c r="C208" s="204">
        <v>5660010151</v>
      </c>
      <c r="D208" s="205">
        <v>32500000</v>
      </c>
      <c r="E208" s="205">
        <v>71500000</v>
      </c>
      <c r="F208" s="206"/>
      <c r="G208" s="207">
        <f aca="true" t="shared" si="8" ref="G208:G214">+F208+E208+D208+C208</f>
        <v>5764010151</v>
      </c>
      <c r="H208" s="139"/>
      <c r="I208" s="534"/>
      <c r="J208" s="534"/>
      <c r="K208" s="534"/>
      <c r="L208" s="534"/>
      <c r="M208" s="534"/>
      <c r="N208" s="534"/>
      <c r="O208" s="534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/>
      <c r="AF208" s="139"/>
      <c r="AG208" s="139"/>
      <c r="AH208" s="139"/>
      <c r="AI208" s="139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</row>
    <row r="209" spans="1:56" s="2" customFormat="1" ht="15">
      <c r="A209" s="163" t="s">
        <v>140</v>
      </c>
      <c r="B209" s="164"/>
      <c r="C209" s="100"/>
      <c r="D209" s="9"/>
      <c r="E209" s="9"/>
      <c r="F209" s="9"/>
      <c r="G209" s="101">
        <f t="shared" si="8"/>
        <v>0</v>
      </c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</row>
    <row r="210" spans="1:56" s="2" customFormat="1" ht="15">
      <c r="A210" s="163" t="s">
        <v>141</v>
      </c>
      <c r="B210" s="164"/>
      <c r="C210" s="100"/>
      <c r="D210" s="9"/>
      <c r="E210" s="9"/>
      <c r="F210" s="9"/>
      <c r="G210" s="101">
        <f t="shared" si="8"/>
        <v>0</v>
      </c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6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6"/>
      <c r="BD210" s="126"/>
    </row>
    <row r="211" spans="1:56" s="2" customFormat="1" ht="15">
      <c r="A211" s="163" t="s">
        <v>142</v>
      </c>
      <c r="B211" s="164"/>
      <c r="C211" s="100"/>
      <c r="D211" s="9"/>
      <c r="E211" s="9"/>
      <c r="F211" s="9"/>
      <c r="G211" s="101">
        <f t="shared" si="8"/>
        <v>0</v>
      </c>
      <c r="H211" s="125"/>
      <c r="I211" s="125" t="s">
        <v>1142</v>
      </c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</row>
    <row r="212" spans="1:56" s="2" customFormat="1" ht="15">
      <c r="A212" s="163" t="s">
        <v>143</v>
      </c>
      <c r="B212" s="164"/>
      <c r="C212" s="100"/>
      <c r="D212" s="9"/>
      <c r="E212" s="9"/>
      <c r="F212" s="9"/>
      <c r="G212" s="101">
        <f t="shared" si="8"/>
        <v>0</v>
      </c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</row>
    <row r="213" spans="1:56" s="2" customFormat="1" ht="15">
      <c r="A213" s="163" t="s">
        <v>144</v>
      </c>
      <c r="B213" s="164"/>
      <c r="C213" s="100"/>
      <c r="D213" s="9"/>
      <c r="E213" s="9"/>
      <c r="F213" s="9"/>
      <c r="G213" s="101">
        <f t="shared" si="8"/>
        <v>0</v>
      </c>
      <c r="H213" s="125"/>
      <c r="I213" s="165">
        <f>83000+44080693</f>
        <v>44163693</v>
      </c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6"/>
      <c r="BD213" s="126"/>
    </row>
    <row r="214" spans="1:56" s="2" customFormat="1" ht="15">
      <c r="A214" s="163" t="s">
        <v>145</v>
      </c>
      <c r="B214" s="164"/>
      <c r="C214" s="100"/>
      <c r="D214" s="39"/>
      <c r="E214" s="9"/>
      <c r="F214" s="9"/>
      <c r="G214" s="101">
        <f t="shared" si="8"/>
        <v>0</v>
      </c>
      <c r="H214" s="125"/>
      <c r="I214" s="165">
        <f>I217-G217</f>
        <v>-180658341</v>
      </c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</row>
    <row r="215" spans="1:56" s="1" customFormat="1" ht="15.75">
      <c r="A215" s="166" t="s">
        <v>146</v>
      </c>
      <c r="B215" s="167"/>
      <c r="C215" s="43">
        <f>+C208+C209+C210+C211-C212-C213-C214</f>
        <v>5660010151</v>
      </c>
      <c r="D215" s="43">
        <f>+D208+D209+D210+D211-D212-D213-D214</f>
        <v>32500000</v>
      </c>
      <c r="E215" s="43">
        <f>+E208+E209+E210+E211-E212-E213-E214</f>
        <v>71500000</v>
      </c>
      <c r="F215" s="43">
        <f>+F208+F209+F210+F211-F212-F213-F214</f>
        <v>0</v>
      </c>
      <c r="G215" s="43">
        <f>+G208+G209+G210+G211-G212-G213-G214</f>
        <v>5764010151</v>
      </c>
      <c r="H215" s="139"/>
      <c r="I215" s="181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</row>
    <row r="216" spans="1:56" s="2" customFormat="1" ht="15.75">
      <c r="A216" s="166" t="s">
        <v>147</v>
      </c>
      <c r="B216" s="167"/>
      <c r="C216" s="204"/>
      <c r="D216" s="9"/>
      <c r="E216" s="9"/>
      <c r="F216" s="9"/>
      <c r="G216" s="101"/>
      <c r="H216" s="125"/>
      <c r="I216" s="16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</row>
    <row r="217" spans="1:56" s="1" customFormat="1" ht="15.75">
      <c r="A217" s="166" t="s">
        <v>160</v>
      </c>
      <c r="B217" s="167"/>
      <c r="C217" s="204">
        <v>805799434</v>
      </c>
      <c r="D217" s="205">
        <v>0</v>
      </c>
      <c r="E217" s="205">
        <v>3222000</v>
      </c>
      <c r="F217" s="205"/>
      <c r="G217" s="207">
        <f>+F217+E217+D217+C217</f>
        <v>809021434</v>
      </c>
      <c r="H217" s="139"/>
      <c r="I217" s="181">
        <f>628363093</f>
        <v>628363093</v>
      </c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</row>
    <row r="218" spans="1:56" s="1" customFormat="1" ht="15.75">
      <c r="A218" s="163" t="s">
        <v>148</v>
      </c>
      <c r="B218" s="164"/>
      <c r="C218" s="100">
        <v>69857850</v>
      </c>
      <c r="D218" s="9"/>
      <c r="E218" s="9">
        <v>13647000</v>
      </c>
      <c r="F218" s="9"/>
      <c r="G218" s="101">
        <f>+F218+E218+D218+C218</f>
        <v>83504850</v>
      </c>
      <c r="H218" s="139"/>
      <c r="I218" s="165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</row>
    <row r="219" spans="1:56" s="1" customFormat="1" ht="15.75">
      <c r="A219" s="163" t="s">
        <v>143</v>
      </c>
      <c r="B219" s="164"/>
      <c r="C219" s="100"/>
      <c r="D219" s="100"/>
      <c r="E219" s="100"/>
      <c r="F219" s="9"/>
      <c r="G219" s="101">
        <f>+F219+E219+D219+C219</f>
        <v>0</v>
      </c>
      <c r="H219" s="139"/>
      <c r="I219" s="165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/>
      <c r="AF219" s="139"/>
      <c r="AG219" s="139"/>
      <c r="AH219" s="139"/>
      <c r="AI219" s="139"/>
      <c r="AJ219" s="140"/>
      <c r="AK219" s="140"/>
      <c r="AL219" s="140"/>
      <c r="AM219" s="140"/>
      <c r="AN219" s="140"/>
      <c r="AO219" s="140"/>
      <c r="AP219" s="140"/>
      <c r="AQ219" s="140"/>
      <c r="AR219" s="140"/>
      <c r="AS219" s="140"/>
      <c r="AT219" s="140"/>
      <c r="AU219" s="140"/>
      <c r="AV219" s="140"/>
      <c r="AW219" s="140"/>
      <c r="AX219" s="140"/>
      <c r="AY219" s="140"/>
      <c r="AZ219" s="140"/>
      <c r="BA219" s="140"/>
      <c r="BB219" s="140"/>
      <c r="BC219" s="140"/>
      <c r="BD219" s="140"/>
    </row>
    <row r="220" spans="1:56" s="1" customFormat="1" ht="15.75">
      <c r="A220" s="163" t="s">
        <v>144</v>
      </c>
      <c r="B220" s="164"/>
      <c r="C220" s="100"/>
      <c r="D220" s="100"/>
      <c r="E220" s="100"/>
      <c r="F220" s="100"/>
      <c r="G220" s="101">
        <f>+F220+E220+D220+C220</f>
        <v>0</v>
      </c>
      <c r="H220" s="139"/>
      <c r="I220" s="165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39"/>
      <c r="AH220" s="139"/>
      <c r="AI220" s="139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</row>
    <row r="221" spans="1:56" s="1" customFormat="1" ht="15.75">
      <c r="A221" s="163" t="s">
        <v>145</v>
      </c>
      <c r="B221" s="164"/>
      <c r="C221" s="100"/>
      <c r="D221" s="100"/>
      <c r="E221" s="100"/>
      <c r="F221" s="9"/>
      <c r="G221" s="101">
        <f>+F221+E221+D221+C221</f>
        <v>0</v>
      </c>
      <c r="H221" s="139"/>
      <c r="I221" s="165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40"/>
      <c r="AT221" s="140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</row>
    <row r="222" spans="1:56" s="1" customFormat="1" ht="18.75" customHeight="1">
      <c r="A222" s="166" t="s">
        <v>146</v>
      </c>
      <c r="B222" s="167"/>
      <c r="C222" s="206">
        <f>+C217+C218-C219-C220-C221</f>
        <v>875657284</v>
      </c>
      <c r="D222" s="206">
        <f>+D217+D218-D219-D220-D221</f>
        <v>0</v>
      </c>
      <c r="E222" s="206">
        <f>+E217+E218-E219-E220-E221</f>
        <v>16869000</v>
      </c>
      <c r="F222" s="206">
        <f>+F217+F218-F219-F220-F221</f>
        <v>0</v>
      </c>
      <c r="G222" s="206">
        <f>+G217+G218-G219-G220-G221</f>
        <v>892526284</v>
      </c>
      <c r="H222" s="139"/>
      <c r="I222" s="181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40"/>
      <c r="AK222" s="140"/>
      <c r="AL222" s="140"/>
      <c r="AM222" s="140"/>
      <c r="AN222" s="140"/>
      <c r="AO222" s="140"/>
      <c r="AP222" s="140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</row>
    <row r="223" spans="1:56" s="1" customFormat="1" ht="15.75">
      <c r="A223" s="168" t="s">
        <v>575</v>
      </c>
      <c r="B223" s="164"/>
      <c r="C223" s="100"/>
      <c r="D223" s="102"/>
      <c r="E223" s="102"/>
      <c r="F223" s="102"/>
      <c r="G223" s="101">
        <f>+F223+E223+D223</f>
        <v>0</v>
      </c>
      <c r="H223" s="139"/>
      <c r="I223" s="165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  <c r="AE223" s="139"/>
      <c r="AF223" s="139"/>
      <c r="AG223" s="139"/>
      <c r="AH223" s="139"/>
      <c r="AI223" s="139"/>
      <c r="AJ223" s="140"/>
      <c r="AK223" s="140"/>
      <c r="AL223" s="140"/>
      <c r="AM223" s="140"/>
      <c r="AN223" s="140"/>
      <c r="AO223" s="140"/>
      <c r="AP223" s="140"/>
      <c r="AQ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</row>
    <row r="224" spans="1:56" s="1" customFormat="1" ht="18.75" customHeight="1">
      <c r="A224" s="200" t="s">
        <v>150</v>
      </c>
      <c r="B224" s="201"/>
      <c r="C224" s="206">
        <f>+C208-C217</f>
        <v>4854210717</v>
      </c>
      <c r="D224" s="206">
        <f>+D208-D217</f>
        <v>32500000</v>
      </c>
      <c r="E224" s="206">
        <f>+E208-E217</f>
        <v>68278000</v>
      </c>
      <c r="F224" s="206">
        <f>+F208-F217</f>
        <v>0</v>
      </c>
      <c r="G224" s="206">
        <f>+G208-G217</f>
        <v>4954988717</v>
      </c>
      <c r="H224" s="139"/>
      <c r="I224" s="181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</row>
    <row r="225" spans="1:56" s="1" customFormat="1" ht="18.75" customHeight="1">
      <c r="A225" s="202" t="s">
        <v>153</v>
      </c>
      <c r="B225" s="203"/>
      <c r="C225" s="208">
        <f>+C215-C222</f>
        <v>4784352867</v>
      </c>
      <c r="D225" s="208">
        <f>+D215-D222</f>
        <v>32500000</v>
      </c>
      <c r="E225" s="208">
        <f>+E215-E222</f>
        <v>54631000</v>
      </c>
      <c r="F225" s="208">
        <f>+F215-F222</f>
        <v>0</v>
      </c>
      <c r="G225" s="208">
        <f>+C225+D225+E225</f>
        <v>4871483867</v>
      </c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</row>
    <row r="226" spans="1:56" s="1" customFormat="1" ht="15.75">
      <c r="A226" s="169" t="s">
        <v>1072</v>
      </c>
      <c r="B226" s="170"/>
      <c r="C226" s="170"/>
      <c r="D226" s="170"/>
      <c r="E226" s="170"/>
      <c r="F226" s="170"/>
      <c r="G226" s="180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40"/>
      <c r="AK226" s="140"/>
      <c r="AL226" s="140"/>
      <c r="AM226" s="140"/>
      <c r="AN226" s="140"/>
      <c r="AO226" s="140"/>
      <c r="AP226" s="140"/>
      <c r="AQ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</row>
    <row r="227" spans="1:56" s="1" customFormat="1" ht="15.75">
      <c r="A227" s="169" t="s">
        <v>1073</v>
      </c>
      <c r="B227" s="170"/>
      <c r="C227" s="170"/>
      <c r="D227" s="170"/>
      <c r="E227" s="170"/>
      <c r="F227" s="170"/>
      <c r="G227" s="180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39"/>
      <c r="AH227" s="139"/>
      <c r="AI227" s="139"/>
      <c r="AJ227" s="140"/>
      <c r="AK227" s="140"/>
      <c r="AL227" s="140"/>
      <c r="AM227" s="140"/>
      <c r="AN227" s="140"/>
      <c r="AO227" s="140"/>
      <c r="AP227" s="140"/>
      <c r="AQ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</row>
    <row r="228" spans="1:56" s="1" customFormat="1" ht="15.75">
      <c r="A228" s="169" t="s">
        <v>1071</v>
      </c>
      <c r="B228" s="170"/>
      <c r="C228" s="170"/>
      <c r="D228" s="170"/>
      <c r="E228" s="170"/>
      <c r="F228" s="170"/>
      <c r="G228" s="180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  <c r="AF228" s="139"/>
      <c r="AG228" s="139"/>
      <c r="AH228" s="139"/>
      <c r="AI228" s="139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</row>
    <row r="229" spans="1:56" s="1" customFormat="1" ht="15.75">
      <c r="A229" s="170" t="s">
        <v>576</v>
      </c>
      <c r="B229" s="170"/>
      <c r="C229" s="170"/>
      <c r="D229" s="170"/>
      <c r="E229" s="170"/>
      <c r="F229" s="132" t="s">
        <v>1141</v>
      </c>
      <c r="G229" s="132" t="s">
        <v>1120</v>
      </c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39"/>
      <c r="AH229" s="139"/>
      <c r="AI229" s="139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</row>
    <row r="230" spans="1:56" s="1" customFormat="1" ht="15.75">
      <c r="A230" s="169" t="s">
        <v>1075</v>
      </c>
      <c r="B230" s="170"/>
      <c r="C230" s="170"/>
      <c r="D230" s="170"/>
      <c r="E230" s="170"/>
      <c r="F230" s="94">
        <f aca="true" t="shared" si="9" ref="F230:F235">SUM(H230:M230)</f>
        <v>37175425623</v>
      </c>
      <c r="G230" s="107">
        <v>32452651426</v>
      </c>
      <c r="H230" s="139">
        <v>37172092290</v>
      </c>
      <c r="I230" s="139"/>
      <c r="J230" s="139"/>
      <c r="K230" s="139"/>
      <c r="L230" s="139"/>
      <c r="M230" s="139">
        <v>3333333</v>
      </c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39"/>
      <c r="AH230" s="139"/>
      <c r="AI230" s="139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  <c r="BA230" s="140"/>
      <c r="BB230" s="140"/>
      <c r="BC230" s="140"/>
      <c r="BD230" s="140"/>
    </row>
    <row r="231" spans="1:56" s="1" customFormat="1" ht="15.75">
      <c r="A231" s="170" t="s">
        <v>577</v>
      </c>
      <c r="B231" s="170"/>
      <c r="C231" s="170"/>
      <c r="D231" s="170"/>
      <c r="E231" s="170"/>
      <c r="F231" s="132" t="s">
        <v>1141</v>
      </c>
      <c r="G231" s="132" t="s">
        <v>1120</v>
      </c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  <c r="AF231" s="139"/>
      <c r="AG231" s="139"/>
      <c r="AH231" s="139"/>
      <c r="AI231" s="139"/>
      <c r="AJ231" s="140"/>
      <c r="AK231" s="140"/>
      <c r="AL231" s="140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40"/>
      <c r="BB231" s="140"/>
      <c r="BC231" s="140"/>
      <c r="BD231" s="140"/>
    </row>
    <row r="232" spans="1:56" s="1" customFormat="1" ht="15.75">
      <c r="A232" s="169" t="s">
        <v>1077</v>
      </c>
      <c r="B232" s="170"/>
      <c r="C232" s="170"/>
      <c r="D232" s="170"/>
      <c r="E232" s="170"/>
      <c r="F232" s="94">
        <f>+G236</f>
        <v>4189155606</v>
      </c>
      <c r="G232" s="107">
        <v>6296663931</v>
      </c>
      <c r="H232" s="139">
        <v>19495456</v>
      </c>
      <c r="I232" s="139">
        <v>2322201264</v>
      </c>
      <c r="J232" s="139">
        <v>28196664</v>
      </c>
      <c r="K232" s="139"/>
      <c r="L232" s="139">
        <v>1373049559</v>
      </c>
      <c r="M232" s="139">
        <v>201332072</v>
      </c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39"/>
      <c r="AH232" s="139"/>
      <c r="AI232" s="139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40"/>
      <c r="AU232" s="140"/>
      <c r="AV232" s="140"/>
      <c r="AW232" s="140"/>
      <c r="AX232" s="140"/>
      <c r="AY232" s="140"/>
      <c r="AZ232" s="140"/>
      <c r="BA232" s="140"/>
      <c r="BB232" s="140"/>
      <c r="BC232" s="140"/>
      <c r="BD232" s="140"/>
    </row>
    <row r="233" spans="1:56" s="1" customFormat="1" ht="15.75">
      <c r="A233" s="169" t="s">
        <v>1078</v>
      </c>
      <c r="B233" s="170"/>
      <c r="C233" s="170"/>
      <c r="D233" s="170"/>
      <c r="E233" s="170"/>
      <c r="F233" s="94">
        <f t="shared" si="9"/>
        <v>474651907</v>
      </c>
      <c r="G233" s="107">
        <v>6153922893</v>
      </c>
      <c r="H233" s="139"/>
      <c r="I233" s="139">
        <v>232619591</v>
      </c>
      <c r="J233" s="139"/>
      <c r="K233" s="139"/>
      <c r="L233" s="139">
        <v>118882736</v>
      </c>
      <c r="M233" s="139">
        <v>123149580</v>
      </c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/>
      <c r="AF233" s="139"/>
      <c r="AG233" s="139"/>
      <c r="AH233" s="139"/>
      <c r="AI233" s="139"/>
      <c r="AJ233" s="140"/>
      <c r="AK233" s="140"/>
      <c r="AL233" s="140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140"/>
      <c r="AW233" s="140"/>
      <c r="AX233" s="140"/>
      <c r="AY233" s="140"/>
      <c r="AZ233" s="140"/>
      <c r="BA233" s="140"/>
      <c r="BB233" s="140"/>
      <c r="BC233" s="140"/>
      <c r="BD233" s="140"/>
    </row>
    <row r="234" spans="1:56" s="1" customFormat="1" ht="15.75">
      <c r="A234" s="169" t="s">
        <v>1079</v>
      </c>
      <c r="B234" s="170"/>
      <c r="C234" s="170"/>
      <c r="D234" s="170"/>
      <c r="E234" s="170"/>
      <c r="F234" s="94">
        <f>SUM(H234:M234)+264376047</f>
        <v>1884550252</v>
      </c>
      <c r="G234" s="107">
        <v>7890019968</v>
      </c>
      <c r="H234" s="139"/>
      <c r="I234" s="139">
        <v>984948790</v>
      </c>
      <c r="J234" s="139"/>
      <c r="K234" s="139"/>
      <c r="L234" s="139">
        <v>545167432</v>
      </c>
      <c r="M234" s="139">
        <v>90057983</v>
      </c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39"/>
      <c r="AH234" s="139"/>
      <c r="AI234" s="139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  <c r="BD234" s="140"/>
    </row>
    <row r="235" spans="1:56" s="1" customFormat="1" ht="15.75">
      <c r="A235" s="169" t="s">
        <v>145</v>
      </c>
      <c r="B235" s="170"/>
      <c r="C235" s="170"/>
      <c r="D235" s="170"/>
      <c r="E235" s="170"/>
      <c r="F235" s="94">
        <f t="shared" si="9"/>
        <v>0</v>
      </c>
      <c r="G235" s="107">
        <v>371411250</v>
      </c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40"/>
      <c r="AK235" s="140"/>
      <c r="AL235" s="140"/>
      <c r="AM235" s="140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0"/>
      <c r="AX235" s="140"/>
      <c r="AY235" s="140"/>
      <c r="AZ235" s="140"/>
      <c r="BA235" s="140"/>
      <c r="BB235" s="140"/>
      <c r="BC235" s="140"/>
      <c r="BD235" s="140"/>
    </row>
    <row r="236" spans="1:56" s="1" customFormat="1" ht="15.75">
      <c r="A236" s="169" t="s">
        <v>1080</v>
      </c>
      <c r="B236" s="170"/>
      <c r="C236" s="170"/>
      <c r="D236" s="170"/>
      <c r="E236" s="170"/>
      <c r="F236" s="106">
        <f aca="true" t="shared" si="10" ref="F236:N236">+F232+F233-F234-F235</f>
        <v>2779257261</v>
      </c>
      <c r="G236" s="106">
        <f t="shared" si="10"/>
        <v>4189155606</v>
      </c>
      <c r="H236" s="165">
        <f t="shared" si="10"/>
        <v>19495456</v>
      </c>
      <c r="I236" s="165">
        <f t="shared" si="10"/>
        <v>1569872065</v>
      </c>
      <c r="J236" s="165">
        <f t="shared" si="10"/>
        <v>28196664</v>
      </c>
      <c r="K236" s="165">
        <f t="shared" si="10"/>
        <v>0</v>
      </c>
      <c r="L236" s="165">
        <f t="shared" si="10"/>
        <v>946764863</v>
      </c>
      <c r="M236" s="165">
        <f t="shared" si="10"/>
        <v>234423669</v>
      </c>
      <c r="N236" s="165">
        <f t="shared" si="10"/>
        <v>0</v>
      </c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40"/>
      <c r="AK236" s="140"/>
      <c r="AL236" s="140"/>
      <c r="AM236" s="140"/>
      <c r="AN236" s="140"/>
      <c r="AO236" s="140"/>
      <c r="AP236" s="140"/>
      <c r="AQ236" s="140"/>
      <c r="AR236" s="140"/>
      <c r="AS236" s="140"/>
      <c r="AT236" s="140"/>
      <c r="AU236" s="140"/>
      <c r="AV236" s="140"/>
      <c r="AW236" s="140"/>
      <c r="AX236" s="140"/>
      <c r="AY236" s="140"/>
      <c r="AZ236" s="140"/>
      <c r="BA236" s="140"/>
      <c r="BB236" s="140"/>
      <c r="BC236" s="140"/>
      <c r="BD236" s="140"/>
    </row>
    <row r="237" spans="1:56" s="1" customFormat="1" ht="15" customHeight="1">
      <c r="A237" s="170" t="s">
        <v>578</v>
      </c>
      <c r="B237" s="170"/>
      <c r="C237" s="170"/>
      <c r="D237" s="170"/>
      <c r="E237" s="170"/>
      <c r="F237" s="132" t="s">
        <v>1141</v>
      </c>
      <c r="G237" s="132" t="s">
        <v>1120</v>
      </c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  <c r="AA237" s="139"/>
      <c r="AB237" s="139"/>
      <c r="AC237" s="139"/>
      <c r="AD237" s="139"/>
      <c r="AE237" s="139"/>
      <c r="AF237" s="139"/>
      <c r="AG237" s="139"/>
      <c r="AH237" s="139"/>
      <c r="AI237" s="139"/>
      <c r="AJ237" s="140"/>
      <c r="AK237" s="140"/>
      <c r="AL237" s="140"/>
      <c r="AM237" s="140"/>
      <c r="AN237" s="140"/>
      <c r="AO237" s="140"/>
      <c r="AP237" s="140"/>
      <c r="AQ237" s="140"/>
      <c r="AR237" s="140"/>
      <c r="AS237" s="140"/>
      <c r="AT237" s="140"/>
      <c r="AU237" s="140"/>
      <c r="AV237" s="140"/>
      <c r="AW237" s="140"/>
      <c r="AX237" s="140"/>
      <c r="AY237" s="140"/>
      <c r="AZ237" s="140"/>
      <c r="BA237" s="140"/>
      <c r="BB237" s="140"/>
      <c r="BC237" s="140"/>
      <c r="BD237" s="140"/>
    </row>
    <row r="238" spans="1:56" s="1" customFormat="1" ht="15.75" hidden="1">
      <c r="A238" s="169" t="s">
        <v>1125</v>
      </c>
      <c r="B238" s="170"/>
      <c r="C238" s="170"/>
      <c r="D238" s="170"/>
      <c r="E238" s="170"/>
      <c r="F238" s="170"/>
      <c r="G238" s="180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  <c r="AF238" s="139"/>
      <c r="AG238" s="139"/>
      <c r="AH238" s="139"/>
      <c r="AI238" s="139"/>
      <c r="AJ238" s="140"/>
      <c r="AK238" s="140"/>
      <c r="AL238" s="140"/>
      <c r="AM238" s="140"/>
      <c r="AN238" s="140"/>
      <c r="AO238" s="140"/>
      <c r="AP238" s="140"/>
      <c r="AQ238" s="140"/>
      <c r="AR238" s="140"/>
      <c r="AS238" s="140"/>
      <c r="AT238" s="140"/>
      <c r="AU238" s="140"/>
      <c r="AV238" s="140"/>
      <c r="AW238" s="140"/>
      <c r="AX238" s="140"/>
      <c r="AY238" s="140"/>
      <c r="AZ238" s="140"/>
      <c r="BA238" s="140"/>
      <c r="BB238" s="140"/>
      <c r="BC238" s="140"/>
      <c r="BD238" s="140"/>
    </row>
    <row r="239" spans="1:56" s="1" customFormat="1" ht="15.75">
      <c r="A239" s="169" t="s">
        <v>579</v>
      </c>
      <c r="B239" s="170"/>
      <c r="C239" s="170"/>
      <c r="D239" s="170"/>
      <c r="E239" s="170"/>
      <c r="F239" s="106">
        <v>44125444110</v>
      </c>
      <c r="G239" s="107">
        <v>56942400322</v>
      </c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39"/>
      <c r="AH239" s="139"/>
      <c r="AI239" s="139"/>
      <c r="AJ239" s="140"/>
      <c r="AK239" s="140"/>
      <c r="AL239" s="140"/>
      <c r="AM239" s="140"/>
      <c r="AN239" s="140"/>
      <c r="AO239" s="140"/>
      <c r="AP239" s="140"/>
      <c r="AQ239" s="140"/>
      <c r="AR239" s="140"/>
      <c r="AS239" s="140"/>
      <c r="AT239" s="140"/>
      <c r="AU239" s="140"/>
      <c r="AV239" s="140"/>
      <c r="AW239" s="140"/>
      <c r="AX239" s="140"/>
      <c r="AY239" s="140"/>
      <c r="AZ239" s="140"/>
      <c r="BA239" s="140"/>
      <c r="BB239" s="140"/>
      <c r="BC239" s="140"/>
      <c r="BD239" s="140"/>
    </row>
    <row r="240" spans="1:56" s="1" customFormat="1" ht="15.75">
      <c r="A240" s="169" t="s">
        <v>1082</v>
      </c>
      <c r="B240" s="170"/>
      <c r="C240" s="170"/>
      <c r="D240" s="170"/>
      <c r="E240" s="170"/>
      <c r="F240" s="94">
        <v>22665912304</v>
      </c>
      <c r="G240" s="107">
        <v>22602261557</v>
      </c>
      <c r="H240" s="139">
        <f>22113641116-353305812</f>
        <v>21760335304</v>
      </c>
      <c r="I240" s="139"/>
      <c r="J240" s="139"/>
      <c r="K240" s="139"/>
      <c r="L240" s="139"/>
      <c r="M240" s="139">
        <v>883406138</v>
      </c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39"/>
      <c r="AH240" s="139"/>
      <c r="AI240" s="139"/>
      <c r="AJ240" s="140"/>
      <c r="AK240" s="140"/>
      <c r="AL240" s="140"/>
      <c r="AM240" s="140"/>
      <c r="AN240" s="140"/>
      <c r="AO240" s="140"/>
      <c r="AP240" s="140"/>
      <c r="AQ240" s="140"/>
      <c r="AR240" s="140"/>
      <c r="AS240" s="140"/>
      <c r="AT240" s="140"/>
      <c r="AU240" s="140"/>
      <c r="AV240" s="140"/>
      <c r="AW240" s="140"/>
      <c r="AX240" s="140"/>
      <c r="AY240" s="140"/>
      <c r="AZ240" s="140"/>
      <c r="BA240" s="140"/>
      <c r="BB240" s="140"/>
      <c r="BC240" s="140"/>
      <c r="BD240" s="140"/>
    </row>
    <row r="241" spans="1:56" s="1" customFormat="1" ht="15" customHeight="1">
      <c r="A241" s="169" t="s">
        <v>1083</v>
      </c>
      <c r="B241" s="170"/>
      <c r="C241" s="170"/>
      <c r="D241" s="170"/>
      <c r="E241" s="170"/>
      <c r="F241" s="94">
        <v>568406138</v>
      </c>
      <c r="G241" s="107">
        <v>1006095386</v>
      </c>
      <c r="H241" s="139"/>
      <c r="I241" s="139"/>
      <c r="J241" s="139"/>
      <c r="K241" s="139"/>
      <c r="L241" s="139">
        <v>590577000</v>
      </c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39"/>
      <c r="AH241" s="139"/>
      <c r="AI241" s="139"/>
      <c r="AJ241" s="140"/>
      <c r="AK241" s="140"/>
      <c r="AL241" s="140"/>
      <c r="AM241" s="140"/>
      <c r="AN241" s="140"/>
      <c r="AO241" s="140"/>
      <c r="AP241" s="140"/>
      <c r="AQ241" s="140"/>
      <c r="AR241" s="140"/>
      <c r="AS241" s="140"/>
      <c r="AT241" s="140"/>
      <c r="AU241" s="140"/>
      <c r="AV241" s="140"/>
      <c r="AW241" s="140"/>
      <c r="AX241" s="140"/>
      <c r="AY241" s="140"/>
      <c r="AZ241" s="140"/>
      <c r="BA241" s="140"/>
      <c r="BB241" s="140"/>
      <c r="BC241" s="140"/>
      <c r="BD241" s="140"/>
    </row>
    <row r="242" spans="1:56" s="1" customFormat="1" ht="15.75" hidden="1">
      <c r="A242" s="169" t="s">
        <v>1084</v>
      </c>
      <c r="B242" s="170"/>
      <c r="C242" s="170"/>
      <c r="D242" s="170"/>
      <c r="E242" s="170"/>
      <c r="F242" s="106"/>
      <c r="G242" s="107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39"/>
      <c r="AC242" s="139"/>
      <c r="AD242" s="139"/>
      <c r="AE242" s="139"/>
      <c r="AF242" s="139"/>
      <c r="AG242" s="139"/>
      <c r="AH242" s="139"/>
      <c r="AI242" s="139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</row>
    <row r="243" spans="1:56" s="1" customFormat="1" ht="15.75">
      <c r="A243" s="532" t="s">
        <v>1116</v>
      </c>
      <c r="B243" s="532"/>
      <c r="C243" s="532"/>
      <c r="D243" s="532"/>
      <c r="E243" s="170"/>
      <c r="F243" s="104">
        <f aca="true" t="shared" si="11" ref="F243:M243">+SUM(F238:F242)</f>
        <v>67359762552</v>
      </c>
      <c r="G243" s="104">
        <f t="shared" si="11"/>
        <v>80550757265</v>
      </c>
      <c r="H243" s="181">
        <f t="shared" si="11"/>
        <v>21760335304</v>
      </c>
      <c r="I243" s="181">
        <f t="shared" si="11"/>
        <v>0</v>
      </c>
      <c r="J243" s="181">
        <f t="shared" si="11"/>
        <v>0</v>
      </c>
      <c r="K243" s="181">
        <f t="shared" si="11"/>
        <v>0</v>
      </c>
      <c r="L243" s="181">
        <f t="shared" si="11"/>
        <v>590577000</v>
      </c>
      <c r="M243" s="181">
        <f t="shared" si="11"/>
        <v>883406138</v>
      </c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  <c r="AF243" s="139"/>
      <c r="AG243" s="139"/>
      <c r="AH243" s="139"/>
      <c r="AI243" s="139"/>
      <c r="AJ243" s="140"/>
      <c r="AK243" s="140"/>
      <c r="AL243" s="140"/>
      <c r="AM243" s="140"/>
      <c r="AN243" s="140"/>
      <c r="AO243" s="140"/>
      <c r="AP243" s="140"/>
      <c r="AQ243" s="140"/>
      <c r="AR243" s="140"/>
      <c r="AS243" s="140"/>
      <c r="AT243" s="140"/>
      <c r="AU243" s="140"/>
      <c r="AV243" s="140"/>
      <c r="AW243" s="140"/>
      <c r="AX243" s="140"/>
      <c r="AY243" s="140"/>
      <c r="AZ243" s="140"/>
      <c r="BA243" s="140"/>
      <c r="BB243" s="140"/>
      <c r="BC243" s="140"/>
      <c r="BD243" s="140"/>
    </row>
    <row r="244" spans="1:56" s="1" customFormat="1" ht="15.75">
      <c r="A244" s="170"/>
      <c r="B244" s="136"/>
      <c r="C244" s="136"/>
      <c r="D244" s="136"/>
      <c r="E244" s="170"/>
      <c r="F244" s="132" t="s">
        <v>1141</v>
      </c>
      <c r="G244" s="132" t="s">
        <v>1120</v>
      </c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  <c r="AF244" s="139"/>
      <c r="AG244" s="139"/>
      <c r="AH244" s="139"/>
      <c r="AI244" s="139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</row>
    <row r="245" spans="1:56" s="1" customFormat="1" ht="15.75">
      <c r="A245" s="170" t="s">
        <v>1088</v>
      </c>
      <c r="B245" s="136"/>
      <c r="C245" s="136"/>
      <c r="D245" s="136"/>
      <c r="E245" s="170"/>
      <c r="F245" s="104">
        <f>+F246+F249</f>
        <v>3759965008</v>
      </c>
      <c r="G245" s="104">
        <f>+G246+G249</f>
        <v>3481432701</v>
      </c>
      <c r="H245" s="181">
        <f aca="true" t="shared" si="12" ref="H245:M245">+H246+H249</f>
        <v>3107374675</v>
      </c>
      <c r="I245" s="181">
        <f t="shared" si="12"/>
        <v>90412603</v>
      </c>
      <c r="J245" s="181">
        <f t="shared" si="12"/>
        <v>48863926</v>
      </c>
      <c r="K245" s="181">
        <f t="shared" si="12"/>
        <v>155637172</v>
      </c>
      <c r="L245" s="181">
        <f t="shared" si="12"/>
        <v>414829345</v>
      </c>
      <c r="M245" s="181">
        <f t="shared" si="12"/>
        <v>11739642</v>
      </c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9"/>
      <c r="AE245" s="139"/>
      <c r="AF245" s="139"/>
      <c r="AG245" s="139"/>
      <c r="AH245" s="139"/>
      <c r="AI245" s="139"/>
      <c r="AJ245" s="140"/>
      <c r="AK245" s="140"/>
      <c r="AL245" s="140"/>
      <c r="AM245" s="140"/>
      <c r="AN245" s="140"/>
      <c r="AO245" s="140"/>
      <c r="AP245" s="140"/>
      <c r="AQ245" s="140"/>
      <c r="AR245" s="140"/>
      <c r="AS245" s="140"/>
      <c r="AT245" s="140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</row>
    <row r="246" spans="1:56" s="1" customFormat="1" ht="15.75">
      <c r="A246" s="170" t="s">
        <v>1089</v>
      </c>
      <c r="B246" s="136"/>
      <c r="C246" s="136"/>
      <c r="D246" s="136"/>
      <c r="E246" s="170"/>
      <c r="F246" s="108">
        <f aca="true" t="shared" si="13" ref="F246:M246">+F247+F248</f>
        <v>3730961481</v>
      </c>
      <c r="G246" s="108">
        <f t="shared" si="13"/>
        <v>3425179226</v>
      </c>
      <c r="H246" s="182">
        <f t="shared" si="13"/>
        <v>3078371148</v>
      </c>
      <c r="I246" s="182">
        <f t="shared" si="13"/>
        <v>90412603</v>
      </c>
      <c r="J246" s="182">
        <f t="shared" si="13"/>
        <v>48863926</v>
      </c>
      <c r="K246" s="182">
        <f t="shared" si="13"/>
        <v>155637172</v>
      </c>
      <c r="L246" s="182">
        <f t="shared" si="13"/>
        <v>414829345</v>
      </c>
      <c r="M246" s="182">
        <f t="shared" si="13"/>
        <v>0</v>
      </c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9"/>
      <c r="AE246" s="139"/>
      <c r="AF246" s="139"/>
      <c r="AG246" s="139"/>
      <c r="AH246" s="139"/>
      <c r="AI246" s="139"/>
      <c r="AJ246" s="140"/>
      <c r="AK246" s="140"/>
      <c r="AL246" s="140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  <c r="AY246" s="140"/>
      <c r="AZ246" s="140"/>
      <c r="BA246" s="140"/>
      <c r="BB246" s="140"/>
      <c r="BC246" s="140"/>
      <c r="BD246" s="140"/>
    </row>
    <row r="247" spans="1:56" s="1" customFormat="1" ht="15.75">
      <c r="A247" s="170" t="s">
        <v>1090</v>
      </c>
      <c r="B247" s="136"/>
      <c r="C247" s="136"/>
      <c r="D247" s="136"/>
      <c r="E247" s="170"/>
      <c r="F247" s="94">
        <f>90412603+552788770</f>
        <v>643201373</v>
      </c>
      <c r="G247" s="104"/>
      <c r="H247" s="139"/>
      <c r="I247" s="139">
        <v>90412603</v>
      </c>
      <c r="J247" s="139">
        <v>48863926</v>
      </c>
      <c r="K247" s="139">
        <v>155637172</v>
      </c>
      <c r="L247" s="139">
        <v>405440385</v>
      </c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39"/>
      <c r="AH247" s="139"/>
      <c r="AI247" s="139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</row>
    <row r="248" spans="1:56" s="1" customFormat="1" ht="15.75">
      <c r="A248" s="170" t="s">
        <v>1091</v>
      </c>
      <c r="B248" s="136"/>
      <c r="C248" s="136"/>
      <c r="D248" s="136"/>
      <c r="E248" s="170"/>
      <c r="F248" s="94">
        <f>SUM(H248:M248)</f>
        <v>3087760108</v>
      </c>
      <c r="G248" s="106">
        <v>3425179226</v>
      </c>
      <c r="H248" s="139">
        <v>3078371148</v>
      </c>
      <c r="I248" s="139"/>
      <c r="J248" s="139"/>
      <c r="K248" s="139"/>
      <c r="L248" s="139">
        <v>9388960</v>
      </c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  <c r="BA248" s="140"/>
      <c r="BB248" s="140"/>
      <c r="BC248" s="140"/>
      <c r="BD248" s="140"/>
    </row>
    <row r="249" spans="1:56" s="1" customFormat="1" ht="15.75">
      <c r="A249" s="170" t="s">
        <v>1092</v>
      </c>
      <c r="B249" s="136"/>
      <c r="C249" s="136"/>
      <c r="D249" s="136"/>
      <c r="E249" s="170"/>
      <c r="F249" s="108">
        <v>29003527</v>
      </c>
      <c r="G249" s="108">
        <f>22448000+29003527+4801948</f>
        <v>56253475</v>
      </c>
      <c r="H249" s="139">
        <v>29003527</v>
      </c>
      <c r="I249" s="139"/>
      <c r="J249" s="139"/>
      <c r="K249" s="139"/>
      <c r="L249" s="139"/>
      <c r="M249" s="139">
        <v>11739642</v>
      </c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139"/>
      <c r="AD249" s="139"/>
      <c r="AE249" s="139"/>
      <c r="AF249" s="139"/>
      <c r="AG249" s="139"/>
      <c r="AH249" s="139"/>
      <c r="AI249" s="139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  <c r="BA249" s="140"/>
      <c r="BB249" s="140"/>
      <c r="BC249" s="140"/>
      <c r="BD249" s="140"/>
    </row>
    <row r="250" spans="1:56" s="1" customFormat="1" ht="15.75">
      <c r="A250" s="170" t="s">
        <v>1093</v>
      </c>
      <c r="B250" s="136"/>
      <c r="C250" s="136"/>
      <c r="D250" s="136"/>
      <c r="E250" s="170"/>
      <c r="F250" s="132" t="s">
        <v>1141</v>
      </c>
      <c r="G250" s="132" t="s">
        <v>1120</v>
      </c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  <c r="AF250" s="139"/>
      <c r="AG250" s="139"/>
      <c r="AH250" s="139"/>
      <c r="AI250" s="139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  <c r="BA250" s="140"/>
      <c r="BB250" s="140"/>
      <c r="BC250" s="140"/>
      <c r="BD250" s="140"/>
    </row>
    <row r="251" spans="1:56" s="1" customFormat="1" ht="15.75">
      <c r="A251" s="169" t="s">
        <v>1094</v>
      </c>
      <c r="B251" s="136"/>
      <c r="C251" s="136"/>
      <c r="D251" s="136"/>
      <c r="E251" s="170"/>
      <c r="F251" s="94">
        <v>2547724105</v>
      </c>
      <c r="G251" s="106">
        <v>785736992</v>
      </c>
      <c r="H251" s="139">
        <v>895587441</v>
      </c>
      <c r="I251" s="139"/>
      <c r="J251" s="139">
        <v>799956816</v>
      </c>
      <c r="K251" s="139">
        <f>187862937-K252</f>
        <v>180340437</v>
      </c>
      <c r="L251" s="139">
        <v>167262762</v>
      </c>
      <c r="M251" s="139">
        <v>222802243</v>
      </c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39"/>
      <c r="AE251" s="139"/>
      <c r="AF251" s="139"/>
      <c r="AG251" s="139"/>
      <c r="AH251" s="139"/>
      <c r="AI251" s="139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</row>
    <row r="252" spans="1:56" s="1" customFormat="1" ht="15.75">
      <c r="A252" s="170" t="s">
        <v>1095</v>
      </c>
      <c r="B252" s="136"/>
      <c r="C252" s="136"/>
      <c r="D252" s="136"/>
      <c r="E252" s="170"/>
      <c r="F252" s="94"/>
      <c r="G252" s="106">
        <v>136731109</v>
      </c>
      <c r="H252" s="139">
        <v>199989733</v>
      </c>
      <c r="I252" s="139"/>
      <c r="J252" s="139"/>
      <c r="K252" s="139">
        <v>7522500</v>
      </c>
      <c r="L252" s="139">
        <v>6079500</v>
      </c>
      <c r="M252" s="139">
        <v>10993282</v>
      </c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  <c r="AF252" s="139"/>
      <c r="AG252" s="139"/>
      <c r="AH252" s="139"/>
      <c r="AI252" s="139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140"/>
      <c r="BD252" s="140"/>
    </row>
    <row r="253" spans="1:56" s="1" customFormat="1" ht="15.75">
      <c r="A253" s="532" t="s">
        <v>1116</v>
      </c>
      <c r="B253" s="532"/>
      <c r="C253" s="532"/>
      <c r="D253" s="532"/>
      <c r="E253" s="170"/>
      <c r="F253" s="104">
        <f aca="true" t="shared" si="14" ref="F253:M253">+F251+F252</f>
        <v>2547724105</v>
      </c>
      <c r="G253" s="104">
        <f t="shared" si="14"/>
        <v>922468101</v>
      </c>
      <c r="H253" s="181">
        <f t="shared" si="14"/>
        <v>1095577174</v>
      </c>
      <c r="I253" s="181">
        <f t="shared" si="14"/>
        <v>0</v>
      </c>
      <c r="J253" s="181">
        <f t="shared" si="14"/>
        <v>799956816</v>
      </c>
      <c r="K253" s="181">
        <f t="shared" si="14"/>
        <v>187862937</v>
      </c>
      <c r="L253" s="181">
        <f t="shared" si="14"/>
        <v>173342262</v>
      </c>
      <c r="M253" s="181">
        <f t="shared" si="14"/>
        <v>233795525</v>
      </c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39"/>
      <c r="AE253" s="139"/>
      <c r="AF253" s="139"/>
      <c r="AG253" s="139"/>
      <c r="AH253" s="139"/>
      <c r="AI253" s="139"/>
      <c r="AJ253" s="140"/>
      <c r="AK253" s="140"/>
      <c r="AL253" s="140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</row>
    <row r="254" spans="1:56" s="1" customFormat="1" ht="15.75">
      <c r="A254" s="170" t="s">
        <v>1196</v>
      </c>
      <c r="B254" s="136"/>
      <c r="C254" s="136"/>
      <c r="D254" s="136"/>
      <c r="E254" s="170"/>
      <c r="F254" s="132" t="s">
        <v>1141</v>
      </c>
      <c r="G254" s="132" t="s">
        <v>1120</v>
      </c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  <c r="AA254" s="139"/>
      <c r="AB254" s="139"/>
      <c r="AC254" s="139"/>
      <c r="AD254" s="139"/>
      <c r="AE254" s="139"/>
      <c r="AF254" s="139"/>
      <c r="AG254" s="139"/>
      <c r="AH254" s="139"/>
      <c r="AI254" s="139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</row>
    <row r="255" spans="1:56" s="1" customFormat="1" ht="15.75">
      <c r="A255" s="170" t="s">
        <v>1097</v>
      </c>
      <c r="B255" s="136"/>
      <c r="C255" s="136"/>
      <c r="D255" s="136"/>
      <c r="E255" s="170"/>
      <c r="F255" s="94">
        <v>88957196</v>
      </c>
      <c r="G255" s="106">
        <v>40908313</v>
      </c>
      <c r="H255" s="139">
        <v>40908313</v>
      </c>
      <c r="I255" s="139">
        <v>48048883</v>
      </c>
      <c r="J255" s="139"/>
      <c r="K255" s="139"/>
      <c r="L255" s="139"/>
      <c r="M255" s="139">
        <v>3865050</v>
      </c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  <c r="AF255" s="139"/>
      <c r="AG255" s="139"/>
      <c r="AH255" s="139"/>
      <c r="AI255" s="139"/>
      <c r="AJ255" s="140"/>
      <c r="AK255" s="140"/>
      <c r="AL255" s="140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  <c r="BA255" s="140"/>
      <c r="BB255" s="140"/>
      <c r="BC255" s="140"/>
      <c r="BD255" s="140"/>
    </row>
    <row r="256" spans="1:56" s="1" customFormat="1" ht="15.75">
      <c r="A256" s="169" t="s">
        <v>1098</v>
      </c>
      <c r="B256" s="136"/>
      <c r="C256" s="136"/>
      <c r="D256" s="136"/>
      <c r="E256" s="170"/>
      <c r="F256" s="94">
        <v>-67236798</v>
      </c>
      <c r="G256" s="106">
        <v>0</v>
      </c>
      <c r="H256" s="139">
        <v>-68469477</v>
      </c>
      <c r="I256" s="139">
        <f>53079008-1232679</f>
        <v>51846329</v>
      </c>
      <c r="J256" s="139">
        <v>17654700</v>
      </c>
      <c r="K256" s="139">
        <v>42833533</v>
      </c>
      <c r="L256" s="139">
        <f>77680763-11028743</f>
        <v>66652020</v>
      </c>
      <c r="M256" s="139">
        <v>26319276</v>
      </c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39"/>
      <c r="AH256" s="139"/>
      <c r="AI256" s="139"/>
      <c r="AJ256" s="140"/>
      <c r="AK256" s="140"/>
      <c r="AL256" s="140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  <c r="BA256" s="140"/>
      <c r="BB256" s="140"/>
      <c r="BC256" s="140"/>
      <c r="BD256" s="140"/>
    </row>
    <row r="257" spans="1:56" s="1" customFormat="1" ht="15.75">
      <c r="A257" s="169" t="s">
        <v>1086</v>
      </c>
      <c r="B257" s="170"/>
      <c r="C257" s="170"/>
      <c r="D257" s="170"/>
      <c r="E257" s="170"/>
      <c r="F257" s="94">
        <v>37851157560</v>
      </c>
      <c r="G257" s="94">
        <v>31817466314</v>
      </c>
      <c r="H257" s="139">
        <v>3088760651</v>
      </c>
      <c r="I257" s="139">
        <v>15259155812</v>
      </c>
      <c r="J257" s="139">
        <v>4870063111</v>
      </c>
      <c r="K257" s="139">
        <v>2144324029</v>
      </c>
      <c r="L257" s="139">
        <v>7047504096</v>
      </c>
      <c r="M257" s="139">
        <v>5489080211</v>
      </c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39"/>
      <c r="AH257" s="139"/>
      <c r="AI257" s="139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</row>
    <row r="258" spans="1:56" s="1" customFormat="1" ht="15.75">
      <c r="A258" s="169" t="s">
        <v>1087</v>
      </c>
      <c r="B258" s="170"/>
      <c r="C258" s="170"/>
      <c r="D258" s="170"/>
      <c r="E258" s="170"/>
      <c r="F258" s="94">
        <v>1760049433</v>
      </c>
      <c r="G258" s="94">
        <v>931463349</v>
      </c>
      <c r="H258" s="139">
        <v>3472958000</v>
      </c>
      <c r="I258" s="139">
        <v>236435177</v>
      </c>
      <c r="J258" s="139">
        <v>348809964</v>
      </c>
      <c r="K258" s="139">
        <v>895716051</v>
      </c>
      <c r="L258" s="139">
        <v>80607538</v>
      </c>
      <c r="M258" s="139">
        <v>198480703</v>
      </c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39"/>
      <c r="AH258" s="139"/>
      <c r="AI258" s="139"/>
      <c r="AJ258" s="140"/>
      <c r="AK258" s="140"/>
      <c r="AL258" s="140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</row>
    <row r="259" spans="1:56" s="1" customFormat="1" ht="15.75">
      <c r="A259" s="169" t="s">
        <v>1099</v>
      </c>
      <c r="B259" s="136"/>
      <c r="C259" s="136"/>
      <c r="D259" s="136"/>
      <c r="E259" s="170"/>
      <c r="F259" s="94">
        <v>213100966</v>
      </c>
      <c r="G259" s="106">
        <v>363266926</v>
      </c>
      <c r="H259" s="139">
        <v>213100966</v>
      </c>
      <c r="I259" s="139"/>
      <c r="J259" s="139">
        <v>2648205</v>
      </c>
      <c r="K259" s="139">
        <v>7560700</v>
      </c>
      <c r="L259" s="139">
        <v>41296270</v>
      </c>
      <c r="M259" s="139">
        <v>11591184</v>
      </c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</row>
    <row r="260" spans="1:56" s="1" customFormat="1" ht="15.75">
      <c r="A260" s="169" t="s">
        <v>1197</v>
      </c>
      <c r="B260" s="136"/>
      <c r="C260" s="136"/>
      <c r="D260" s="136"/>
      <c r="E260" s="170"/>
      <c r="F260" s="94">
        <v>427050000</v>
      </c>
      <c r="G260" s="106">
        <v>75562000</v>
      </c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  <c r="AF260" s="139"/>
      <c r="AG260" s="139"/>
      <c r="AH260" s="139"/>
      <c r="AI260" s="139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</row>
    <row r="261" spans="1:56" s="1" customFormat="1" ht="15.75">
      <c r="A261" s="169" t="s">
        <v>1100</v>
      </c>
      <c r="B261" s="136"/>
      <c r="C261" s="136"/>
      <c r="D261" s="136"/>
      <c r="E261" s="170"/>
      <c r="F261" s="94">
        <f>16881649746+7599981250</f>
        <v>24481630996</v>
      </c>
      <c r="G261" s="106">
        <v>5593681031</v>
      </c>
      <c r="H261" s="139">
        <v>1053450472</v>
      </c>
      <c r="I261" s="139"/>
      <c r="J261" s="139"/>
      <c r="K261" s="139">
        <f>77405877+947977875+1000000</f>
        <v>1026383752</v>
      </c>
      <c r="L261" s="139">
        <f>234988712-10585474</f>
        <v>224403238</v>
      </c>
      <c r="M261" s="139">
        <v>653950640</v>
      </c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39"/>
      <c r="AH261" s="139"/>
      <c r="AI261" s="139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</row>
    <row r="262" spans="1:56" s="1" customFormat="1" ht="15.75">
      <c r="A262" s="532" t="s">
        <v>1116</v>
      </c>
      <c r="B262" s="532"/>
      <c r="C262" s="532"/>
      <c r="D262" s="532"/>
      <c r="E262" s="170"/>
      <c r="F262" s="104">
        <f>+SUM(F255:F261)</f>
        <v>64754709353</v>
      </c>
      <c r="G262" s="104">
        <f>+SUM(G255:G261)</f>
        <v>38822347933</v>
      </c>
      <c r="H262" s="181">
        <f aca="true" t="shared" si="15" ref="H262:M262">+SUM(H255:H261)</f>
        <v>7800708925</v>
      </c>
      <c r="I262" s="181">
        <f t="shared" si="15"/>
        <v>15595486201</v>
      </c>
      <c r="J262" s="181">
        <f t="shared" si="15"/>
        <v>5239175980</v>
      </c>
      <c r="K262" s="181">
        <f t="shared" si="15"/>
        <v>4116818065</v>
      </c>
      <c r="L262" s="181">
        <f t="shared" si="15"/>
        <v>7460463162</v>
      </c>
      <c r="M262" s="181">
        <f t="shared" si="15"/>
        <v>6383287064</v>
      </c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39"/>
      <c r="AH262" s="139"/>
      <c r="AI262" s="139"/>
      <c r="AJ262" s="140"/>
      <c r="AK262" s="140"/>
      <c r="AL262" s="140"/>
      <c r="AM262" s="140"/>
      <c r="AN262" s="140"/>
      <c r="AO262" s="140"/>
      <c r="AP262" s="140"/>
      <c r="AQ262" s="140"/>
      <c r="AR262" s="140"/>
      <c r="AS262" s="140"/>
      <c r="AT262" s="140"/>
      <c r="AU262" s="140"/>
      <c r="AV262" s="140"/>
      <c r="AW262" s="140"/>
      <c r="AX262" s="140"/>
      <c r="AY262" s="140"/>
      <c r="AZ262" s="140"/>
      <c r="BA262" s="140"/>
      <c r="BB262" s="140"/>
      <c r="BC262" s="140"/>
      <c r="BD262" s="140"/>
    </row>
    <row r="263" spans="1:56" s="1" customFormat="1" ht="15.75">
      <c r="A263" s="170" t="s">
        <v>1101</v>
      </c>
      <c r="B263" s="136"/>
      <c r="C263" s="136"/>
      <c r="D263" s="136"/>
      <c r="E263" s="170"/>
      <c r="F263" s="132" t="s">
        <v>1141</v>
      </c>
      <c r="G263" s="132" t="s">
        <v>1120</v>
      </c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  <c r="AF263" s="139"/>
      <c r="AG263" s="139"/>
      <c r="AH263" s="139"/>
      <c r="AI263" s="139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40"/>
      <c r="BA263" s="140"/>
      <c r="BB263" s="140"/>
      <c r="BC263" s="140"/>
      <c r="BD263" s="140"/>
    </row>
    <row r="264" spans="1:56" s="1" customFormat="1" ht="15.75" customHeight="1" hidden="1">
      <c r="A264" s="169" t="s">
        <v>1102</v>
      </c>
      <c r="B264" s="136"/>
      <c r="C264" s="136"/>
      <c r="D264" s="136"/>
      <c r="E264" s="170"/>
      <c r="F264" s="172"/>
      <c r="G264" s="172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</row>
    <row r="265" spans="1:56" s="1" customFormat="1" ht="15.75">
      <c r="A265" s="169" t="s">
        <v>1103</v>
      </c>
      <c r="B265" s="136"/>
      <c r="C265" s="136"/>
      <c r="D265" s="136"/>
      <c r="E265" s="170"/>
      <c r="F265" s="133"/>
      <c r="G265" s="170"/>
      <c r="H265" s="139">
        <v>0</v>
      </c>
      <c r="I265" s="139">
        <v>2308532902</v>
      </c>
      <c r="J265" s="139">
        <v>499217568</v>
      </c>
      <c r="K265" s="139">
        <v>7085625770</v>
      </c>
      <c r="L265" s="139">
        <v>12010356674</v>
      </c>
      <c r="M265" s="139">
        <v>1477305526</v>
      </c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39"/>
      <c r="AH265" s="139"/>
      <c r="AI265" s="139"/>
      <c r="AJ265" s="140"/>
      <c r="AK265" s="140"/>
      <c r="AL265" s="140"/>
      <c r="AM265" s="140"/>
      <c r="AN265" s="140"/>
      <c r="AO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</row>
    <row r="266" spans="1:56" s="1" customFormat="1" ht="15" customHeight="1">
      <c r="A266" s="532" t="s">
        <v>1116</v>
      </c>
      <c r="B266" s="532"/>
      <c r="C266" s="532"/>
      <c r="D266" s="532"/>
      <c r="E266" s="170"/>
      <c r="F266" s="104">
        <f aca="true" t="shared" si="16" ref="F266:M266">+SUM(F264:F265)</f>
        <v>0</v>
      </c>
      <c r="G266" s="104">
        <f t="shared" si="16"/>
        <v>0</v>
      </c>
      <c r="H266" s="181">
        <f t="shared" si="16"/>
        <v>0</v>
      </c>
      <c r="I266" s="181">
        <f t="shared" si="16"/>
        <v>2308532902</v>
      </c>
      <c r="J266" s="181">
        <f t="shared" si="16"/>
        <v>499217568</v>
      </c>
      <c r="K266" s="181">
        <f t="shared" si="16"/>
        <v>7085625770</v>
      </c>
      <c r="L266" s="181">
        <f t="shared" si="16"/>
        <v>12010356674</v>
      </c>
      <c r="M266" s="181">
        <f t="shared" si="16"/>
        <v>1477305526</v>
      </c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</row>
    <row r="267" spans="1:56" s="1" customFormat="1" ht="15.75">
      <c r="A267" s="170" t="s">
        <v>674</v>
      </c>
      <c r="B267" s="136"/>
      <c r="C267" s="136"/>
      <c r="D267" s="136"/>
      <c r="E267" s="170"/>
      <c r="F267" s="132" t="s">
        <v>1141</v>
      </c>
      <c r="G267" s="132" t="s">
        <v>1120</v>
      </c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</row>
    <row r="268" spans="1:56" s="1" customFormat="1" ht="15.75">
      <c r="A268" s="170" t="s">
        <v>677</v>
      </c>
      <c r="B268" s="136"/>
      <c r="C268" s="136"/>
      <c r="D268" s="136"/>
      <c r="E268" s="170"/>
      <c r="F268" s="96">
        <f>+F269+F270</f>
        <v>27726984769</v>
      </c>
      <c r="G268" s="96">
        <f aca="true" t="shared" si="17" ref="G268:M268">+G269</f>
        <v>27160601822</v>
      </c>
      <c r="H268" s="181">
        <f t="shared" si="17"/>
        <v>25556235419</v>
      </c>
      <c r="I268" s="181">
        <f t="shared" si="17"/>
        <v>0</v>
      </c>
      <c r="J268" s="181">
        <f t="shared" si="17"/>
        <v>0</v>
      </c>
      <c r="K268" s="181">
        <f t="shared" si="17"/>
        <v>0</v>
      </c>
      <c r="L268" s="181">
        <f t="shared" si="17"/>
        <v>1811019000</v>
      </c>
      <c r="M268" s="181">
        <f t="shared" si="17"/>
        <v>312000000</v>
      </c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</row>
    <row r="269" spans="1:56" s="1" customFormat="1" ht="15.75">
      <c r="A269" s="170" t="s">
        <v>1106</v>
      </c>
      <c r="B269" s="136"/>
      <c r="C269" s="136"/>
      <c r="D269" s="136"/>
      <c r="E269" s="170"/>
      <c r="F269" s="94">
        <f>28933110431-5454323662</f>
        <v>23478786769</v>
      </c>
      <c r="G269" s="94">
        <v>27160601822</v>
      </c>
      <c r="H269" s="139">
        <f>27157815027-1601579608</f>
        <v>25556235419</v>
      </c>
      <c r="I269" s="139"/>
      <c r="J269" s="139"/>
      <c r="K269" s="139"/>
      <c r="L269" s="139">
        <v>1811019000</v>
      </c>
      <c r="M269" s="139">
        <v>312000000</v>
      </c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</row>
    <row r="270" spans="1:56" s="1" customFormat="1" ht="15.75">
      <c r="A270" s="169" t="s">
        <v>1198</v>
      </c>
      <c r="B270" s="136"/>
      <c r="C270" s="136"/>
      <c r="D270" s="136"/>
      <c r="E270" s="170"/>
      <c r="F270" s="94">
        <v>4248198000</v>
      </c>
      <c r="G270" s="94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  <c r="AC270" s="139"/>
      <c r="AD270" s="139"/>
      <c r="AE270" s="139"/>
      <c r="AF270" s="139"/>
      <c r="AG270" s="139"/>
      <c r="AH270" s="139"/>
      <c r="AI270" s="139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</row>
    <row r="271" spans="1:56" s="1" customFormat="1" ht="15.75">
      <c r="A271" s="170" t="s">
        <v>678</v>
      </c>
      <c r="B271" s="136"/>
      <c r="C271" s="136"/>
      <c r="D271" s="136"/>
      <c r="E271" s="170"/>
      <c r="F271" s="104">
        <f aca="true" t="shared" si="18" ref="F271:K271">+F272</f>
        <v>1075474053</v>
      </c>
      <c r="G271" s="104">
        <f t="shared" si="18"/>
        <v>1075474053</v>
      </c>
      <c r="H271" s="181">
        <f t="shared" si="18"/>
        <v>577364043</v>
      </c>
      <c r="I271" s="181">
        <f t="shared" si="18"/>
        <v>0</v>
      </c>
      <c r="J271" s="181">
        <f t="shared" si="18"/>
        <v>0</v>
      </c>
      <c r="K271" s="181">
        <f t="shared" si="18"/>
        <v>0</v>
      </c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39"/>
      <c r="AH271" s="139"/>
      <c r="AI271" s="139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</row>
    <row r="272" spans="1:56" s="1" customFormat="1" ht="15.75">
      <c r="A272" s="170" t="s">
        <v>1108</v>
      </c>
      <c r="B272" s="136"/>
      <c r="C272" s="136"/>
      <c r="D272" s="136"/>
      <c r="E272" s="170"/>
      <c r="F272" s="94">
        <f>SUM(H272:M272)</f>
        <v>1075474053</v>
      </c>
      <c r="G272" s="106">
        <v>1075474053</v>
      </c>
      <c r="H272" s="139">
        <v>577364043</v>
      </c>
      <c r="I272" s="139"/>
      <c r="J272" s="139"/>
      <c r="K272" s="139"/>
      <c r="L272" s="139"/>
      <c r="M272" s="139">
        <v>498110010</v>
      </c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139"/>
      <c r="AD272" s="139"/>
      <c r="AE272" s="139"/>
      <c r="AF272" s="139"/>
      <c r="AG272" s="139"/>
      <c r="AH272" s="139"/>
      <c r="AI272" s="139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</row>
    <row r="273" spans="1:56" s="1" customFormat="1" ht="15.75">
      <c r="A273" s="170" t="s">
        <v>1400</v>
      </c>
      <c r="B273" s="136"/>
      <c r="C273" s="136"/>
      <c r="D273" s="136"/>
      <c r="E273" s="170"/>
      <c r="F273" s="94">
        <v>130651609</v>
      </c>
      <c r="G273" s="106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139"/>
      <c r="AH273" s="139"/>
      <c r="AI273" s="139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</row>
    <row r="274" spans="1:56" s="1" customFormat="1" ht="15.75">
      <c r="A274" s="532" t="s">
        <v>1116</v>
      </c>
      <c r="B274" s="532"/>
      <c r="C274" s="532"/>
      <c r="D274" s="532"/>
      <c r="E274" s="170"/>
      <c r="F274" s="104">
        <f>+F268+F271+F273</f>
        <v>28933110431</v>
      </c>
      <c r="G274" s="104">
        <f>+G268+G271+G273</f>
        <v>28236075875</v>
      </c>
      <c r="H274" s="181">
        <f aca="true" t="shared" si="19" ref="H274:M274">+H268+H271</f>
        <v>26133599462</v>
      </c>
      <c r="I274" s="181">
        <f t="shared" si="19"/>
        <v>0</v>
      </c>
      <c r="J274" s="181">
        <f t="shared" si="19"/>
        <v>0</v>
      </c>
      <c r="K274" s="181">
        <f t="shared" si="19"/>
        <v>0</v>
      </c>
      <c r="L274" s="181">
        <f t="shared" si="19"/>
        <v>1811019000</v>
      </c>
      <c r="M274" s="181">
        <f t="shared" si="19"/>
        <v>312000000</v>
      </c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139"/>
      <c r="AH274" s="139"/>
      <c r="AI274" s="139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  <c r="BD274" s="140"/>
    </row>
    <row r="275" spans="1:56" s="28" customFormat="1" ht="15.75">
      <c r="A275" s="170" t="s">
        <v>675</v>
      </c>
      <c r="B275" s="183"/>
      <c r="C275" s="183"/>
      <c r="D275" s="183"/>
      <c r="E275" s="170"/>
      <c r="F275" s="172"/>
      <c r="G275" s="172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1"/>
      <c r="AF275" s="181"/>
      <c r="AG275" s="181"/>
      <c r="AH275" s="181"/>
      <c r="AI275" s="181"/>
      <c r="AJ275" s="184"/>
      <c r="AK275" s="184"/>
      <c r="AL275" s="184"/>
      <c r="AM275" s="184"/>
      <c r="AN275" s="184"/>
      <c r="AO275" s="184"/>
      <c r="AP275" s="184"/>
      <c r="AQ275" s="184"/>
      <c r="AR275" s="184"/>
      <c r="AS275" s="184"/>
      <c r="AT275" s="184"/>
      <c r="AU275" s="184"/>
      <c r="AV275" s="184"/>
      <c r="AW275" s="184"/>
      <c r="AX275" s="184"/>
      <c r="AY275" s="184"/>
      <c r="AZ275" s="184"/>
      <c r="BA275" s="184"/>
      <c r="BB275" s="184"/>
      <c r="BC275" s="184"/>
      <c r="BD275" s="184"/>
    </row>
    <row r="276" spans="1:56" s="1" customFormat="1" ht="15.75">
      <c r="A276" s="170" t="s">
        <v>676</v>
      </c>
      <c r="B276" s="183"/>
      <c r="C276" s="183"/>
      <c r="D276" s="183"/>
      <c r="E276" s="170"/>
      <c r="F276" s="172"/>
      <c r="G276" s="172">
        <f>+D276+E276-F276</f>
        <v>0</v>
      </c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</row>
    <row r="277" spans="1:56" s="1" customFormat="1" ht="39" customHeight="1">
      <c r="A277" s="539" t="s">
        <v>1117</v>
      </c>
      <c r="B277" s="540"/>
      <c r="C277" s="91" t="s">
        <v>1199</v>
      </c>
      <c r="D277" s="91" t="s">
        <v>1329</v>
      </c>
      <c r="E277" s="91" t="s">
        <v>882</v>
      </c>
      <c r="F277" s="92" t="s">
        <v>1330</v>
      </c>
      <c r="G277" s="91" t="s">
        <v>1328</v>
      </c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D277" s="139"/>
      <c r="AE277" s="139"/>
      <c r="AF277" s="139"/>
      <c r="AG277" s="139"/>
      <c r="AH277" s="139"/>
      <c r="AI277" s="139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</row>
    <row r="278" spans="1:56" s="1" customFormat="1" ht="15.75">
      <c r="A278" s="541" t="s">
        <v>1118</v>
      </c>
      <c r="B278" s="542"/>
      <c r="C278" s="185">
        <v>1</v>
      </c>
      <c r="D278" s="185">
        <v>2</v>
      </c>
      <c r="E278" s="185">
        <v>3</v>
      </c>
      <c r="F278" s="185">
        <v>4</v>
      </c>
      <c r="G278" s="185">
        <v>5</v>
      </c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39"/>
      <c r="AH278" s="139"/>
      <c r="AI278" s="139"/>
      <c r="AJ278" s="140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  <c r="BA278" s="140"/>
      <c r="BB278" s="140"/>
      <c r="BC278" s="140"/>
      <c r="BD278" s="140"/>
    </row>
    <row r="279" spans="1:56" s="1" customFormat="1" ht="15.75">
      <c r="A279" s="186" t="s">
        <v>1332</v>
      </c>
      <c r="B279" s="187"/>
      <c r="C279" s="112">
        <v>47886255000</v>
      </c>
      <c r="D279" s="112">
        <v>1226843828</v>
      </c>
      <c r="E279" s="212">
        <v>1073204534</v>
      </c>
      <c r="F279" s="212"/>
      <c r="G279" s="212">
        <v>16597592866</v>
      </c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9"/>
      <c r="AE279" s="139"/>
      <c r="AF279" s="139"/>
      <c r="AG279" s="139"/>
      <c r="AH279" s="139"/>
      <c r="AI279" s="139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</row>
    <row r="280" spans="1:56" s="1" customFormat="1" ht="15.75">
      <c r="A280" s="189" t="s">
        <v>1333</v>
      </c>
      <c r="B280" s="190"/>
      <c r="C280" s="213"/>
      <c r="D280" s="213"/>
      <c r="E280" s="111"/>
      <c r="F280" s="112"/>
      <c r="G280" s="112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39"/>
      <c r="AH280" s="139"/>
      <c r="AI280" s="139"/>
      <c r="AJ280" s="140"/>
      <c r="AK280" s="140"/>
      <c r="AL280" s="140"/>
      <c r="AM280" s="140"/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</row>
    <row r="281" spans="1:56" s="1" customFormat="1" ht="15.75">
      <c r="A281" s="189" t="s">
        <v>1334</v>
      </c>
      <c r="B281" s="190"/>
      <c r="C281" s="213"/>
      <c r="D281" s="111"/>
      <c r="E281" s="111"/>
      <c r="F281" s="112"/>
      <c r="G281" s="112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9"/>
      <c r="AF281" s="139"/>
      <c r="AG281" s="139"/>
      <c r="AH281" s="139"/>
      <c r="AI281" s="139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</row>
    <row r="282" spans="1:56" s="1" customFormat="1" ht="15.75" hidden="1">
      <c r="A282" s="189" t="s">
        <v>1335</v>
      </c>
      <c r="B282" s="190"/>
      <c r="C282" s="213"/>
      <c r="D282" s="213"/>
      <c r="E282" s="111"/>
      <c r="F282" s="112"/>
      <c r="G282" s="112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</row>
    <row r="283" spans="1:56" s="1" customFormat="1" ht="15.75">
      <c r="A283" s="188" t="s">
        <v>1339</v>
      </c>
      <c r="B283" s="190"/>
      <c r="C283" s="112">
        <v>51222610000</v>
      </c>
      <c r="D283" s="112">
        <v>2457410134</v>
      </c>
      <c r="E283" s="112">
        <v>2222638949</v>
      </c>
      <c r="F283" s="112"/>
      <c r="G283" s="112">
        <v>8176124964</v>
      </c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39"/>
      <c r="AH283" s="139"/>
      <c r="AI283" s="139"/>
      <c r="AJ283" s="140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</row>
    <row r="284" spans="1:56" s="1" customFormat="1" ht="15.75">
      <c r="A284" s="188" t="s">
        <v>1340</v>
      </c>
      <c r="B284" s="190"/>
      <c r="C284" s="112">
        <v>51222610000</v>
      </c>
      <c r="D284" s="112">
        <v>2457410134</v>
      </c>
      <c r="E284" s="112">
        <v>2222638949</v>
      </c>
      <c r="F284" s="112"/>
      <c r="G284" s="112">
        <v>8176124964</v>
      </c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40"/>
      <c r="AK284" s="140"/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</row>
    <row r="285" spans="1:56" s="1" customFormat="1" ht="15.75">
      <c r="A285" s="535" t="s">
        <v>1200</v>
      </c>
      <c r="B285" s="536"/>
      <c r="C285" s="213"/>
      <c r="D285" s="111"/>
      <c r="E285" s="111"/>
      <c r="F285" s="111"/>
      <c r="G285" s="111">
        <f>+G286+G287-G288</f>
        <v>-3936577756</v>
      </c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  <c r="AA285" s="139"/>
      <c r="AB285" s="139"/>
      <c r="AC285" s="139"/>
      <c r="AD285" s="139"/>
      <c r="AE285" s="139"/>
      <c r="AF285" s="139"/>
      <c r="AG285" s="139"/>
      <c r="AH285" s="139"/>
      <c r="AI285" s="139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</row>
    <row r="286" spans="1:56" s="1" customFormat="1" ht="15.75">
      <c r="A286" s="189" t="s">
        <v>1342</v>
      </c>
      <c r="B286" s="190"/>
      <c r="C286" s="213"/>
      <c r="D286" s="111"/>
      <c r="E286" s="111"/>
      <c r="F286" s="111"/>
      <c r="G286" s="111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  <c r="AC286" s="139"/>
      <c r="AD286" s="139"/>
      <c r="AE286" s="139"/>
      <c r="AF286" s="139"/>
      <c r="AG286" s="139"/>
      <c r="AH286" s="139"/>
      <c r="AI286" s="139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</row>
    <row r="287" spans="1:56" s="1" customFormat="1" ht="15.75">
      <c r="A287" s="189" t="s">
        <v>1343</v>
      </c>
      <c r="B287" s="190"/>
      <c r="C287" s="213"/>
      <c r="D287" s="111"/>
      <c r="E287" s="111"/>
      <c r="F287" s="111"/>
      <c r="G287" s="111">
        <f>11839528458-8176124964</f>
        <v>3663403494</v>
      </c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39"/>
      <c r="AH287" s="139"/>
      <c r="AI287" s="139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</row>
    <row r="288" spans="1:56" s="1" customFormat="1" ht="15.75">
      <c r="A288" s="189" t="s">
        <v>1344</v>
      </c>
      <c r="B288" s="190"/>
      <c r="C288" s="213"/>
      <c r="D288" s="111"/>
      <c r="E288" s="111"/>
      <c r="F288" s="111"/>
      <c r="G288" s="111">
        <v>7599981250</v>
      </c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39"/>
      <c r="AH288" s="139"/>
      <c r="AI288" s="139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  <c r="BA288" s="140"/>
      <c r="BB288" s="140"/>
      <c r="BC288" s="140"/>
      <c r="BD288" s="140"/>
    </row>
    <row r="289" spans="1:56" s="1" customFormat="1" ht="15.75">
      <c r="A289" s="191" t="s">
        <v>1345</v>
      </c>
      <c r="B289" s="192"/>
      <c r="C289" s="115">
        <f>C284+C285</f>
        <v>51222610000</v>
      </c>
      <c r="D289" s="115">
        <f>D284+D285</f>
        <v>2457410134</v>
      </c>
      <c r="E289" s="115">
        <f>E284+E285</f>
        <v>2222638949</v>
      </c>
      <c r="F289" s="115">
        <f>F284+F285</f>
        <v>0</v>
      </c>
      <c r="G289" s="115">
        <f>G284+G285</f>
        <v>4239547208</v>
      </c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  <c r="AA289" s="139"/>
      <c r="AB289" s="139"/>
      <c r="AC289" s="139"/>
      <c r="AD289" s="139"/>
      <c r="AE289" s="139"/>
      <c r="AF289" s="139"/>
      <c r="AG289" s="139"/>
      <c r="AH289" s="139"/>
      <c r="AI289" s="139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</row>
    <row r="290" spans="1:56" s="1" customFormat="1" ht="14.25" customHeight="1">
      <c r="A290" s="172"/>
      <c r="B290" s="183"/>
      <c r="C290" s="172"/>
      <c r="D290" s="172"/>
      <c r="E290" s="172"/>
      <c r="F290" s="172"/>
      <c r="G290" s="172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9"/>
      <c r="AE290" s="139"/>
      <c r="AF290" s="139"/>
      <c r="AG290" s="139"/>
      <c r="AH290" s="139"/>
      <c r="AI290" s="139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</row>
    <row r="291" spans="1:56" s="1" customFormat="1" ht="15.75">
      <c r="A291" s="170" t="s">
        <v>1401</v>
      </c>
      <c r="B291" s="183"/>
      <c r="C291" s="183"/>
      <c r="D291" s="183"/>
      <c r="E291" s="170"/>
      <c r="F291" s="132" t="s">
        <v>1141</v>
      </c>
      <c r="G291" s="132" t="s">
        <v>1120</v>
      </c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  <c r="AA291" s="139"/>
      <c r="AB291" s="139"/>
      <c r="AC291" s="139"/>
      <c r="AD291" s="139"/>
      <c r="AE291" s="139"/>
      <c r="AF291" s="139"/>
      <c r="AG291" s="139"/>
      <c r="AH291" s="139"/>
      <c r="AI291" s="139"/>
      <c r="AJ291" s="140"/>
      <c r="AK291" s="140"/>
      <c r="AL291" s="140"/>
      <c r="AM291" s="140"/>
      <c r="AN291" s="140"/>
      <c r="AO291" s="140"/>
      <c r="AP291" s="140"/>
      <c r="AQ291" s="140"/>
      <c r="AR291" s="140"/>
      <c r="AS291" s="140"/>
      <c r="AT291" s="140"/>
      <c r="AU291" s="140"/>
      <c r="AV291" s="140"/>
      <c r="AW291" s="140"/>
      <c r="AX291" s="140"/>
      <c r="AY291" s="140"/>
      <c r="AZ291" s="140"/>
      <c r="BA291" s="140"/>
      <c r="BB291" s="140"/>
      <c r="BC291" s="140"/>
      <c r="BD291" s="140"/>
    </row>
    <row r="292" spans="1:56" s="1" customFormat="1" ht="15.75">
      <c r="A292" s="169" t="s">
        <v>1024</v>
      </c>
      <c r="B292" s="183"/>
      <c r="C292" s="183"/>
      <c r="D292" s="183"/>
      <c r="E292" s="170"/>
      <c r="F292" s="106">
        <v>6930357400</v>
      </c>
      <c r="G292" s="106">
        <v>6930357400</v>
      </c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139"/>
      <c r="AH292" s="139"/>
      <c r="AI292" s="139"/>
      <c r="AJ292" s="140"/>
      <c r="AK292" s="140"/>
      <c r="AL292" s="140"/>
      <c r="AM292" s="140"/>
      <c r="AN292" s="140"/>
      <c r="AO292" s="140"/>
      <c r="AP292" s="140"/>
      <c r="AQ292" s="140"/>
      <c r="AR292" s="140"/>
      <c r="AS292" s="140"/>
      <c r="AT292" s="140"/>
      <c r="AU292" s="140"/>
      <c r="AV292" s="140"/>
      <c r="AW292" s="140"/>
      <c r="AX292" s="140"/>
      <c r="AY292" s="140"/>
      <c r="AZ292" s="140"/>
      <c r="BA292" s="140"/>
      <c r="BB292" s="140"/>
      <c r="BC292" s="140"/>
      <c r="BD292" s="140"/>
    </row>
    <row r="293" spans="1:56" s="1" customFormat="1" ht="15.75">
      <c r="A293" s="169" t="s">
        <v>1025</v>
      </c>
      <c r="B293" s="183"/>
      <c r="C293" s="183"/>
      <c r="D293" s="183"/>
      <c r="E293" s="170"/>
      <c r="F293" s="106">
        <v>44292252600</v>
      </c>
      <c r="G293" s="106">
        <v>44292252600</v>
      </c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39"/>
      <c r="AH293" s="139"/>
      <c r="AI293" s="139"/>
      <c r="AJ293" s="140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  <c r="BA293" s="140"/>
      <c r="BB293" s="140"/>
      <c r="BC293" s="140"/>
      <c r="BD293" s="140"/>
    </row>
    <row r="294" spans="1:56" s="1" customFormat="1" ht="15.75">
      <c r="A294" s="532" t="s">
        <v>1116</v>
      </c>
      <c r="B294" s="532"/>
      <c r="C294" s="532"/>
      <c r="D294" s="532"/>
      <c r="E294" s="170"/>
      <c r="F294" s="104">
        <f>SUM(F292:F293)</f>
        <v>51222610000</v>
      </c>
      <c r="G294" s="104">
        <f>SUM(G292:G293)</f>
        <v>51222610000</v>
      </c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  <c r="AA294" s="139"/>
      <c r="AB294" s="139"/>
      <c r="AC294" s="139"/>
      <c r="AD294" s="139"/>
      <c r="AE294" s="139"/>
      <c r="AF294" s="139"/>
      <c r="AG294" s="139"/>
      <c r="AH294" s="139"/>
      <c r="AI294" s="139"/>
      <c r="AJ294" s="140"/>
      <c r="AK294" s="140"/>
      <c r="AL294" s="140"/>
      <c r="AM294" s="140"/>
      <c r="AN294" s="140"/>
      <c r="AO294" s="140"/>
      <c r="AP294" s="140"/>
      <c r="AQ294" s="140"/>
      <c r="AR294" s="140"/>
      <c r="AS294" s="140"/>
      <c r="AT294" s="140"/>
      <c r="AU294" s="140"/>
      <c r="AV294" s="140"/>
      <c r="AW294" s="140"/>
      <c r="AX294" s="140"/>
      <c r="AY294" s="140"/>
      <c r="AZ294" s="140"/>
      <c r="BA294" s="140"/>
      <c r="BB294" s="140"/>
      <c r="BC294" s="140"/>
      <c r="BD294" s="140"/>
    </row>
    <row r="295" spans="1:56" s="1" customFormat="1" ht="15.75">
      <c r="A295" s="544" t="s">
        <v>1402</v>
      </c>
      <c r="B295" s="544"/>
      <c r="C295" s="544"/>
      <c r="D295" s="544"/>
      <c r="E295" s="544"/>
      <c r="F295" s="544"/>
      <c r="G295" s="544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  <c r="Y295" s="139"/>
      <c r="Z295" s="139"/>
      <c r="AA295" s="139"/>
      <c r="AB295" s="139"/>
      <c r="AC295" s="139"/>
      <c r="AD295" s="139"/>
      <c r="AE295" s="139"/>
      <c r="AF295" s="139"/>
      <c r="AG295" s="139"/>
      <c r="AH295" s="139"/>
      <c r="AI295" s="139"/>
      <c r="AJ295" s="140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</row>
    <row r="296" spans="1:56" s="1" customFormat="1" ht="15.75">
      <c r="A296" s="170" t="s">
        <v>1403</v>
      </c>
      <c r="B296" s="183"/>
      <c r="C296" s="183"/>
      <c r="D296" s="183"/>
      <c r="E296" s="170"/>
      <c r="F296" s="132" t="s">
        <v>1141</v>
      </c>
      <c r="G296" s="132" t="s">
        <v>1120</v>
      </c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D296" s="139"/>
      <c r="AE296" s="139"/>
      <c r="AF296" s="139"/>
      <c r="AG296" s="139"/>
      <c r="AH296" s="139"/>
      <c r="AI296" s="139"/>
      <c r="AJ296" s="140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</row>
    <row r="297" spans="1:56" s="1" customFormat="1" ht="15.75">
      <c r="A297" s="170" t="s">
        <v>1126</v>
      </c>
      <c r="B297" s="183"/>
      <c r="C297" s="183"/>
      <c r="D297" s="183"/>
      <c r="E297" s="170"/>
      <c r="F297" s="172"/>
      <c r="G297" s="172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39"/>
      <c r="AH297" s="139"/>
      <c r="AI297" s="139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</row>
    <row r="298" spans="1:56" s="1" customFormat="1" ht="15.75">
      <c r="A298" s="169" t="s">
        <v>1349</v>
      </c>
      <c r="B298" s="183"/>
      <c r="C298" s="183"/>
      <c r="D298" s="183"/>
      <c r="E298" s="170"/>
      <c r="F298" s="104">
        <f>+F299+F300</f>
        <v>77890136959</v>
      </c>
      <c r="G298" s="104">
        <f>+G299+G300</f>
        <v>332769690904</v>
      </c>
      <c r="H298" s="139">
        <f aca="true" t="shared" si="20" ref="H298:M298">SUM(H299:H300)</f>
        <v>0</v>
      </c>
      <c r="I298" s="139">
        <f t="shared" si="20"/>
        <v>22286384372</v>
      </c>
      <c r="J298" s="139">
        <f t="shared" si="20"/>
        <v>7998191593</v>
      </c>
      <c r="K298" s="139">
        <f t="shared" si="20"/>
        <v>11690942673</v>
      </c>
      <c r="L298" s="139">
        <f t="shared" si="20"/>
        <v>18241046859</v>
      </c>
      <c r="M298" s="139">
        <f t="shared" si="20"/>
        <v>18241046859</v>
      </c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40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</row>
    <row r="299" spans="1:56" s="1" customFormat="1" ht="15.75">
      <c r="A299" s="169" t="s">
        <v>1350</v>
      </c>
      <c r="B299" s="183"/>
      <c r="C299" s="183"/>
      <c r="D299" s="183"/>
      <c r="E299" s="170"/>
      <c r="F299" s="106">
        <v>77890136959</v>
      </c>
      <c r="G299" s="106">
        <v>332769690904</v>
      </c>
      <c r="H299" s="139"/>
      <c r="I299" s="139"/>
      <c r="J299" s="139"/>
      <c r="K299" s="139">
        <f>6748367051+4942575622</f>
        <v>11690942673</v>
      </c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39"/>
      <c r="AH299" s="139"/>
      <c r="AI299" s="139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</row>
    <row r="300" spans="1:56" s="1" customFormat="1" ht="15.75" hidden="1">
      <c r="A300" s="169" t="s">
        <v>1351</v>
      </c>
      <c r="B300" s="183"/>
      <c r="C300" s="183"/>
      <c r="D300" s="183"/>
      <c r="E300" s="170"/>
      <c r="F300" s="106"/>
      <c r="G300" s="106"/>
      <c r="H300" s="139"/>
      <c r="I300" s="139">
        <v>22286384372</v>
      </c>
      <c r="J300" s="139">
        <v>7998191593</v>
      </c>
      <c r="K300" s="139"/>
      <c r="L300" s="139">
        <v>18241046859</v>
      </c>
      <c r="M300" s="139">
        <v>18241046859</v>
      </c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139"/>
      <c r="AA300" s="139"/>
      <c r="AB300" s="139"/>
      <c r="AC300" s="139"/>
      <c r="AD300" s="139"/>
      <c r="AE300" s="139"/>
      <c r="AF300" s="139"/>
      <c r="AG300" s="139"/>
      <c r="AH300" s="139"/>
      <c r="AI300" s="139"/>
      <c r="AJ300" s="140"/>
      <c r="AK300" s="140"/>
      <c r="AL300" s="140"/>
      <c r="AM300" s="140"/>
      <c r="AN300" s="140"/>
      <c r="AO300" s="140"/>
      <c r="AP300" s="140"/>
      <c r="AQ300" s="140"/>
      <c r="AR300" s="140"/>
      <c r="AS300" s="140"/>
      <c r="AT300" s="140"/>
      <c r="AU300" s="140"/>
      <c r="AV300" s="140"/>
      <c r="AW300" s="140"/>
      <c r="AX300" s="140"/>
      <c r="AY300" s="140"/>
      <c r="AZ300" s="140"/>
      <c r="BA300" s="140"/>
      <c r="BB300" s="140"/>
      <c r="BC300" s="140"/>
      <c r="BD300" s="140"/>
    </row>
    <row r="301" spans="1:56" s="1" customFormat="1" ht="15.75">
      <c r="A301" s="170" t="s">
        <v>1404</v>
      </c>
      <c r="B301" s="183"/>
      <c r="C301" s="183"/>
      <c r="D301" s="183"/>
      <c r="E301" s="170"/>
      <c r="F301" s="106">
        <f>+F302+F303+F304</f>
        <v>1540450</v>
      </c>
      <c r="G301" s="106">
        <f>+G302+G303+G304</f>
        <v>409585712</v>
      </c>
      <c r="H301" s="139">
        <f aca="true" t="shared" si="21" ref="H301:M301">SUM(H302:H304)</f>
        <v>0</v>
      </c>
      <c r="I301" s="139">
        <f t="shared" si="21"/>
        <v>0</v>
      </c>
      <c r="J301" s="139">
        <f t="shared" si="21"/>
        <v>0</v>
      </c>
      <c r="K301" s="139">
        <f t="shared" si="21"/>
        <v>1540450</v>
      </c>
      <c r="L301" s="139">
        <f t="shared" si="21"/>
        <v>0</v>
      </c>
      <c r="M301" s="139">
        <f t="shared" si="21"/>
        <v>0</v>
      </c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39"/>
      <c r="AH301" s="139"/>
      <c r="AI301" s="139"/>
      <c r="AJ301" s="140"/>
      <c r="AK301" s="140"/>
      <c r="AL301" s="140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  <c r="AY301" s="140"/>
      <c r="AZ301" s="140"/>
      <c r="BA301" s="140"/>
      <c r="BB301" s="140"/>
      <c r="BC301" s="140"/>
      <c r="BD301" s="140"/>
    </row>
    <row r="302" spans="1:56" s="1" customFormat="1" ht="15.75">
      <c r="A302" s="169" t="s">
        <v>1353</v>
      </c>
      <c r="B302" s="183"/>
      <c r="C302" s="183"/>
      <c r="D302" s="183"/>
      <c r="E302" s="170"/>
      <c r="F302" s="104"/>
      <c r="G302" s="104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39"/>
      <c r="AH302" s="139"/>
      <c r="AI302" s="139"/>
      <c r="AJ302" s="140"/>
      <c r="AK302" s="140"/>
      <c r="AL302" s="140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0"/>
    </row>
    <row r="303" spans="1:56" s="1" customFormat="1" ht="15.75">
      <c r="A303" s="169" t="s">
        <v>1354</v>
      </c>
      <c r="B303" s="183"/>
      <c r="C303" s="183"/>
      <c r="D303" s="183"/>
      <c r="E303" s="170"/>
      <c r="F303" s="104"/>
      <c r="G303" s="106">
        <v>409585712</v>
      </c>
      <c r="H303" s="139"/>
      <c r="I303" s="139"/>
      <c r="J303" s="139"/>
      <c r="K303" s="139">
        <v>1540450</v>
      </c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40"/>
      <c r="AK303" s="140"/>
      <c r="AL303" s="140"/>
      <c r="AM303" s="140"/>
      <c r="AN303" s="140"/>
      <c r="AO303" s="140"/>
      <c r="AP303" s="140"/>
      <c r="AQ303" s="140"/>
      <c r="AR303" s="140"/>
      <c r="AS303" s="140"/>
      <c r="AT303" s="140"/>
      <c r="AU303" s="140"/>
      <c r="AV303" s="140"/>
      <c r="AW303" s="140"/>
      <c r="AX303" s="140"/>
      <c r="AY303" s="140"/>
      <c r="AZ303" s="140"/>
      <c r="BA303" s="140"/>
      <c r="BB303" s="140"/>
      <c r="BC303" s="140"/>
      <c r="BD303" s="140"/>
    </row>
    <row r="304" spans="1:56" s="1" customFormat="1" ht="15.75">
      <c r="A304" s="169" t="s">
        <v>654</v>
      </c>
      <c r="B304" s="183"/>
      <c r="C304" s="183"/>
      <c r="D304" s="183"/>
      <c r="E304" s="170"/>
      <c r="F304" s="106">
        <v>1540450</v>
      </c>
      <c r="G304" s="106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H304" s="139"/>
      <c r="AI304" s="139"/>
      <c r="AJ304" s="140"/>
      <c r="AK304" s="140"/>
      <c r="AL304" s="140"/>
      <c r="AM304" s="140"/>
      <c r="AN304" s="140"/>
      <c r="AO304" s="140"/>
      <c r="AP304" s="140"/>
      <c r="AQ304" s="140"/>
      <c r="AR304" s="140"/>
      <c r="AS304" s="140"/>
      <c r="AT304" s="140"/>
      <c r="AU304" s="140"/>
      <c r="AV304" s="140"/>
      <c r="AW304" s="140"/>
      <c r="AX304" s="140"/>
      <c r="AY304" s="140"/>
      <c r="AZ304" s="140"/>
      <c r="BA304" s="140"/>
      <c r="BB304" s="140"/>
      <c r="BC304" s="140"/>
      <c r="BD304" s="140"/>
    </row>
    <row r="305" spans="1:56" s="1" customFormat="1" ht="15.75">
      <c r="A305" s="170" t="s">
        <v>1405</v>
      </c>
      <c r="B305" s="183"/>
      <c r="C305" s="183"/>
      <c r="D305" s="183"/>
      <c r="E305" s="170"/>
      <c r="F305" s="104">
        <f>+F298-F301</f>
        <v>77888596509</v>
      </c>
      <c r="G305" s="104">
        <f>+G298-G301</f>
        <v>332360105192</v>
      </c>
      <c r="H305" s="139">
        <f aca="true" t="shared" si="22" ref="H305:M305">SUM(H307:H308)</f>
        <v>0</v>
      </c>
      <c r="I305" s="139">
        <f t="shared" si="22"/>
        <v>22286384372</v>
      </c>
      <c r="J305" s="139">
        <f t="shared" si="22"/>
        <v>7998191593</v>
      </c>
      <c r="K305" s="139">
        <f t="shared" si="22"/>
        <v>11687861773</v>
      </c>
      <c r="L305" s="139">
        <f t="shared" si="22"/>
        <v>18241046859</v>
      </c>
      <c r="M305" s="139">
        <f t="shared" si="22"/>
        <v>18241046859</v>
      </c>
      <c r="N305" s="139"/>
      <c r="O305" s="139"/>
      <c r="P305" s="139"/>
      <c r="Q305" s="139"/>
      <c r="R305" s="139"/>
      <c r="S305" s="139"/>
      <c r="T305" s="139"/>
      <c r="U305" s="139"/>
      <c r="V305" s="139"/>
      <c r="W305" s="139"/>
      <c r="X305" s="139"/>
      <c r="Y305" s="139"/>
      <c r="Z305" s="139"/>
      <c r="AA305" s="139"/>
      <c r="AB305" s="139"/>
      <c r="AC305" s="139"/>
      <c r="AD305" s="139"/>
      <c r="AE305" s="139"/>
      <c r="AF305" s="139"/>
      <c r="AG305" s="139"/>
      <c r="AH305" s="139"/>
      <c r="AI305" s="139"/>
      <c r="AJ305" s="140"/>
      <c r="AK305" s="140"/>
      <c r="AL305" s="140"/>
      <c r="AM305" s="140"/>
      <c r="AN305" s="140"/>
      <c r="AO305" s="140"/>
      <c r="AP305" s="140"/>
      <c r="AQ305" s="140"/>
      <c r="AR305" s="140"/>
      <c r="AS305" s="140"/>
      <c r="AT305" s="140"/>
      <c r="AU305" s="140"/>
      <c r="AV305" s="140"/>
      <c r="AW305" s="140"/>
      <c r="AX305" s="140"/>
      <c r="AY305" s="140"/>
      <c r="AZ305" s="140"/>
      <c r="BA305" s="140"/>
      <c r="BB305" s="140"/>
      <c r="BC305" s="140"/>
      <c r="BD305" s="140"/>
    </row>
    <row r="306" spans="1:56" s="1" customFormat="1" ht="15.75">
      <c r="A306" s="170" t="s">
        <v>1126</v>
      </c>
      <c r="B306" s="183"/>
      <c r="C306" s="183"/>
      <c r="D306" s="183"/>
      <c r="E306" s="170"/>
      <c r="F306" s="104"/>
      <c r="G306" s="104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  <c r="AC306" s="139"/>
      <c r="AD306" s="139"/>
      <c r="AE306" s="139"/>
      <c r="AF306" s="139"/>
      <c r="AG306" s="139"/>
      <c r="AH306" s="139"/>
      <c r="AI306" s="139"/>
      <c r="AJ306" s="140"/>
      <c r="AK306" s="140"/>
      <c r="AL306" s="140"/>
      <c r="AM306" s="14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  <c r="BA306" s="140"/>
      <c r="BB306" s="140"/>
      <c r="BC306" s="140"/>
      <c r="BD306" s="140"/>
    </row>
    <row r="307" spans="1:56" s="1" customFormat="1" ht="15.75">
      <c r="A307" s="169" t="s">
        <v>1356</v>
      </c>
      <c r="B307" s="183"/>
      <c r="C307" s="183"/>
      <c r="D307" s="183"/>
      <c r="E307" s="170"/>
      <c r="F307" s="106">
        <f>+F299-F304</f>
        <v>77888596509</v>
      </c>
      <c r="G307" s="106">
        <f>+G299-G301</f>
        <v>332360105192</v>
      </c>
      <c r="H307" s="139">
        <f aca="true" t="shared" si="23" ref="H307:M307">H299-H301</f>
        <v>0</v>
      </c>
      <c r="I307" s="139">
        <f t="shared" si="23"/>
        <v>0</v>
      </c>
      <c r="J307" s="139">
        <f t="shared" si="23"/>
        <v>0</v>
      </c>
      <c r="K307" s="139">
        <f t="shared" si="23"/>
        <v>11689402223</v>
      </c>
      <c r="L307" s="139">
        <f t="shared" si="23"/>
        <v>0</v>
      </c>
      <c r="M307" s="139">
        <f t="shared" si="23"/>
        <v>0</v>
      </c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  <c r="AA307" s="139"/>
      <c r="AB307" s="139"/>
      <c r="AC307" s="139"/>
      <c r="AD307" s="139"/>
      <c r="AE307" s="139"/>
      <c r="AF307" s="139"/>
      <c r="AG307" s="139"/>
      <c r="AH307" s="139"/>
      <c r="AI307" s="139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</row>
    <row r="308" spans="1:56" s="1" customFormat="1" ht="15.75">
      <c r="A308" s="169" t="s">
        <v>1357</v>
      </c>
      <c r="B308" s="183"/>
      <c r="C308" s="183"/>
      <c r="D308" s="183"/>
      <c r="E308" s="170"/>
      <c r="F308" s="106">
        <f>+F300</f>
        <v>0</v>
      </c>
      <c r="G308" s="106">
        <f>+G300</f>
        <v>0</v>
      </c>
      <c r="H308" s="139">
        <f aca="true" t="shared" si="24" ref="H308:M308">H300-H301</f>
        <v>0</v>
      </c>
      <c r="I308" s="139">
        <f t="shared" si="24"/>
        <v>22286384372</v>
      </c>
      <c r="J308" s="139">
        <f t="shared" si="24"/>
        <v>7998191593</v>
      </c>
      <c r="K308" s="139">
        <f t="shared" si="24"/>
        <v>-1540450</v>
      </c>
      <c r="L308" s="139">
        <f t="shared" si="24"/>
        <v>18241046859</v>
      </c>
      <c r="M308" s="139">
        <f t="shared" si="24"/>
        <v>18241046859</v>
      </c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  <c r="AC308" s="139"/>
      <c r="AD308" s="139"/>
      <c r="AE308" s="139"/>
      <c r="AF308" s="139"/>
      <c r="AG308" s="139"/>
      <c r="AH308" s="139"/>
      <c r="AI308" s="139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</row>
    <row r="309" spans="1:56" s="1" customFormat="1" ht="15.75">
      <c r="A309" s="170" t="s">
        <v>1406</v>
      </c>
      <c r="B309" s="183"/>
      <c r="C309" s="183"/>
      <c r="D309" s="183"/>
      <c r="E309" s="170"/>
      <c r="F309" s="132" t="s">
        <v>1141</v>
      </c>
      <c r="G309" s="132" t="s">
        <v>1120</v>
      </c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9"/>
      <c r="AE309" s="139"/>
      <c r="AF309" s="139"/>
      <c r="AG309" s="139"/>
      <c r="AH309" s="139"/>
      <c r="AI309" s="139"/>
      <c r="AJ309" s="140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</row>
    <row r="310" spans="1:56" s="1" customFormat="1" ht="15.75">
      <c r="A310" s="169" t="s">
        <v>1362</v>
      </c>
      <c r="B310" s="183"/>
      <c r="C310" s="183"/>
      <c r="D310" s="183"/>
      <c r="E310" s="170"/>
      <c r="F310" s="106">
        <v>66968988239</v>
      </c>
      <c r="G310" s="106">
        <v>71738197216</v>
      </c>
      <c r="H310" s="139"/>
      <c r="I310" s="139"/>
      <c r="J310" s="139"/>
      <c r="K310" s="139">
        <f>6353783352+4594314909</f>
        <v>10948098261</v>
      </c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9"/>
      <c r="AE310" s="139"/>
      <c r="AF310" s="139"/>
      <c r="AG310" s="139"/>
      <c r="AH310" s="139"/>
      <c r="AI310" s="139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</row>
    <row r="311" spans="1:56" s="1" customFormat="1" ht="15.75" hidden="1">
      <c r="A311" s="169" t="s">
        <v>1363</v>
      </c>
      <c r="B311" s="183"/>
      <c r="C311" s="183"/>
      <c r="D311" s="183"/>
      <c r="E311" s="170"/>
      <c r="F311" s="106"/>
      <c r="G311" s="106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39"/>
      <c r="AE311" s="139"/>
      <c r="AF311" s="139"/>
      <c r="AG311" s="139"/>
      <c r="AH311" s="139"/>
      <c r="AI311" s="139"/>
      <c r="AJ311" s="140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</row>
    <row r="312" spans="1:56" s="1" customFormat="1" ht="15.75">
      <c r="A312" s="169" t="s">
        <v>1364</v>
      </c>
      <c r="B312" s="183"/>
      <c r="C312" s="183"/>
      <c r="D312" s="183"/>
      <c r="E312" s="170"/>
      <c r="F312" s="106"/>
      <c r="G312" s="106">
        <v>212101268202</v>
      </c>
      <c r="H312" s="139"/>
      <c r="I312" s="139">
        <v>21677528982</v>
      </c>
      <c r="J312" s="139">
        <v>6831834629</v>
      </c>
      <c r="K312" s="139"/>
      <c r="L312" s="139">
        <v>13966945184</v>
      </c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39"/>
      <c r="AH312" s="139"/>
      <c r="AI312" s="139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</row>
    <row r="313" spans="1:56" s="1" customFormat="1" ht="15.75">
      <c r="A313" s="543" t="s">
        <v>1116</v>
      </c>
      <c r="B313" s="543"/>
      <c r="C313" s="543"/>
      <c r="D313" s="543"/>
      <c r="E313" s="170"/>
      <c r="F313" s="104">
        <f>+SUM(F310:F312)</f>
        <v>66968988239</v>
      </c>
      <c r="G313" s="104">
        <f>+SUM(G310:G312)</f>
        <v>283839465418</v>
      </c>
      <c r="H313" s="139">
        <f>SUM(H310:H312)</f>
        <v>0</v>
      </c>
      <c r="I313" s="139">
        <f>SUM(I310:I312)</f>
        <v>21677528982</v>
      </c>
      <c r="J313" s="139">
        <f>SUM(J310:J312)</f>
        <v>6831834629</v>
      </c>
      <c r="K313" s="139">
        <f>SUM(K310:K312)</f>
        <v>10948098261</v>
      </c>
      <c r="L313" s="139">
        <f>SUM(L310:L312)</f>
        <v>13966945184</v>
      </c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  <c r="AA313" s="139"/>
      <c r="AB313" s="139"/>
      <c r="AC313" s="139"/>
      <c r="AD313" s="139"/>
      <c r="AE313" s="139"/>
      <c r="AF313" s="139"/>
      <c r="AG313" s="139"/>
      <c r="AH313" s="139"/>
      <c r="AI313" s="139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</row>
    <row r="314" spans="1:56" s="1" customFormat="1" ht="15.75">
      <c r="A314" s="170" t="s">
        <v>1407</v>
      </c>
      <c r="B314" s="183"/>
      <c r="C314" s="183"/>
      <c r="D314" s="183"/>
      <c r="E314" s="170"/>
      <c r="F314" s="104">
        <f>+F315+F316</f>
        <v>2127727247</v>
      </c>
      <c r="G314" s="104">
        <f>+G315+G316</f>
        <v>6174687324</v>
      </c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  <c r="AA314" s="139"/>
      <c r="AB314" s="139"/>
      <c r="AC314" s="139"/>
      <c r="AD314" s="139"/>
      <c r="AE314" s="139"/>
      <c r="AF314" s="139"/>
      <c r="AG314" s="139"/>
      <c r="AH314" s="139"/>
      <c r="AI314" s="139"/>
      <c r="AJ314" s="140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</row>
    <row r="315" spans="1:56" s="1" customFormat="1" ht="15.75">
      <c r="A315" s="169" t="s">
        <v>1359</v>
      </c>
      <c r="B315" s="183"/>
      <c r="C315" s="183"/>
      <c r="D315" s="183"/>
      <c r="E315" s="170"/>
      <c r="F315" s="106">
        <v>2127727247</v>
      </c>
      <c r="G315" s="106">
        <v>6174687324</v>
      </c>
      <c r="H315" s="139"/>
      <c r="I315" s="139">
        <v>80467</v>
      </c>
      <c r="J315" s="139">
        <v>5875305</v>
      </c>
      <c r="K315" s="139">
        <v>2435017</v>
      </c>
      <c r="L315" s="139">
        <v>9440216</v>
      </c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  <c r="AA315" s="139"/>
      <c r="AB315" s="139"/>
      <c r="AC315" s="139"/>
      <c r="AD315" s="139"/>
      <c r="AE315" s="139"/>
      <c r="AF315" s="139"/>
      <c r="AG315" s="139"/>
      <c r="AH315" s="139"/>
      <c r="AI315" s="139"/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</row>
    <row r="316" spans="1:56" s="1" customFormat="1" ht="15.75">
      <c r="A316" s="169" t="s">
        <v>1360</v>
      </c>
      <c r="B316" s="183"/>
      <c r="C316" s="183"/>
      <c r="D316" s="183"/>
      <c r="E316" s="170"/>
      <c r="F316" s="106"/>
      <c r="G316" s="106">
        <v>0</v>
      </c>
      <c r="H316" s="139"/>
      <c r="I316" s="139"/>
      <c r="J316" s="139"/>
      <c r="K316" s="139">
        <v>22491000</v>
      </c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9"/>
      <c r="AE316" s="139"/>
      <c r="AF316" s="139"/>
      <c r="AG316" s="139"/>
      <c r="AH316" s="139"/>
      <c r="AI316" s="139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</row>
    <row r="317" spans="1:56" s="1" customFormat="1" ht="18.75" customHeight="1">
      <c r="A317" s="170" t="s">
        <v>1408</v>
      </c>
      <c r="B317" s="193"/>
      <c r="C317" s="193"/>
      <c r="D317" s="183"/>
      <c r="E317" s="170"/>
      <c r="F317" s="132" t="s">
        <v>1141</v>
      </c>
      <c r="G317" s="132" t="s">
        <v>1120</v>
      </c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E317" s="139"/>
      <c r="AF317" s="139"/>
      <c r="AG317" s="139"/>
      <c r="AH317" s="139"/>
      <c r="AI317" s="139"/>
      <c r="AJ317" s="140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</row>
    <row r="318" spans="1:56" s="1" customFormat="1" ht="13.5" customHeight="1">
      <c r="A318" s="170" t="s">
        <v>1366</v>
      </c>
      <c r="B318" s="193"/>
      <c r="C318" s="193"/>
      <c r="D318" s="183"/>
      <c r="E318" s="170"/>
      <c r="F318" s="106">
        <v>4242231942</v>
      </c>
      <c r="G318" s="106">
        <v>10517521784</v>
      </c>
      <c r="H318" s="139"/>
      <c r="I318" s="139"/>
      <c r="J318" s="139"/>
      <c r="K318" s="139">
        <v>174378815</v>
      </c>
      <c r="L318" s="139">
        <v>657755980</v>
      </c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  <c r="AC318" s="139"/>
      <c r="AD318" s="139"/>
      <c r="AE318" s="139"/>
      <c r="AF318" s="139"/>
      <c r="AG318" s="139"/>
      <c r="AH318" s="139"/>
      <c r="AI318" s="139"/>
      <c r="AJ318" s="140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</row>
    <row r="319" spans="1:56" s="1" customFormat="1" ht="15.75" hidden="1">
      <c r="A319" s="170" t="s">
        <v>1367</v>
      </c>
      <c r="B319" s="193"/>
      <c r="C319" s="193"/>
      <c r="D319" s="183"/>
      <c r="E319" s="170"/>
      <c r="F319" s="132" t="s">
        <v>1141</v>
      </c>
      <c r="G319" s="132" t="s">
        <v>1120</v>
      </c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  <c r="AA319" s="139"/>
      <c r="AB319" s="139"/>
      <c r="AC319" s="139"/>
      <c r="AD319" s="139"/>
      <c r="AE319" s="139"/>
      <c r="AF319" s="139"/>
      <c r="AG319" s="139"/>
      <c r="AH319" s="139"/>
      <c r="AI319" s="139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</row>
    <row r="320" spans="1:56" s="1" customFormat="1" ht="15.75" hidden="1">
      <c r="A320" s="170" t="s">
        <v>1368</v>
      </c>
      <c r="B320" s="193"/>
      <c r="C320" s="193"/>
      <c r="D320" s="183"/>
      <c r="E320" s="170"/>
      <c r="F320" s="170">
        <f>93887721+1543364+578568243</f>
        <v>673999328</v>
      </c>
      <c r="G320" s="170"/>
      <c r="H320" s="139"/>
      <c r="I320" s="139"/>
      <c r="J320" s="139"/>
      <c r="K320" s="139">
        <v>8973390047</v>
      </c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  <c r="AD320" s="139"/>
      <c r="AE320" s="139"/>
      <c r="AF320" s="139"/>
      <c r="AG320" s="139"/>
      <c r="AH320" s="139"/>
      <c r="AI320" s="139"/>
      <c r="AJ320" s="140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</row>
    <row r="321" spans="1:56" s="1" customFormat="1" ht="15.75" hidden="1">
      <c r="A321" s="170" t="s">
        <v>1369</v>
      </c>
      <c r="B321" s="193"/>
      <c r="C321" s="193"/>
      <c r="D321" s="183"/>
      <c r="E321" s="170"/>
      <c r="F321" s="170">
        <v>2268029959</v>
      </c>
      <c r="G321" s="170"/>
      <c r="H321" s="139"/>
      <c r="I321" s="139"/>
      <c r="J321" s="139"/>
      <c r="K321" s="139">
        <v>429042768</v>
      </c>
      <c r="L321" s="139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  <c r="AA321" s="139"/>
      <c r="AB321" s="139"/>
      <c r="AC321" s="139"/>
      <c r="AD321" s="139"/>
      <c r="AE321" s="139"/>
      <c r="AF321" s="139"/>
      <c r="AG321" s="139"/>
      <c r="AH321" s="139"/>
      <c r="AI321" s="139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</row>
    <row r="322" spans="1:56" s="1" customFormat="1" ht="15.75" hidden="1">
      <c r="A322" s="170" t="s">
        <v>1370</v>
      </c>
      <c r="B322" s="193"/>
      <c r="C322" s="193"/>
      <c r="D322" s="183"/>
      <c r="E322" s="170"/>
      <c r="F322" s="170">
        <v>694902018</v>
      </c>
      <c r="G322" s="170"/>
      <c r="H322" s="139"/>
      <c r="I322" s="139"/>
      <c r="J322" s="139"/>
      <c r="K322" s="139">
        <v>105680526</v>
      </c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9"/>
      <c r="AD322" s="139"/>
      <c r="AE322" s="139"/>
      <c r="AF322" s="139"/>
      <c r="AG322" s="139"/>
      <c r="AH322" s="139"/>
      <c r="AI322" s="139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</row>
    <row r="323" spans="1:56" s="1" customFormat="1" ht="15.75" hidden="1">
      <c r="A323" s="170" t="s">
        <v>1371</v>
      </c>
      <c r="B323" s="193"/>
      <c r="C323" s="193"/>
      <c r="D323" s="183"/>
      <c r="E323" s="170"/>
      <c r="F323" s="170">
        <f>41752104+5071623522+1087401121-1033883390+67165270+4763181+522962120+252392326-156872721</f>
        <v>5857303533</v>
      </c>
      <c r="G323" s="170"/>
      <c r="H323" s="139"/>
      <c r="I323" s="139"/>
      <c r="J323" s="139"/>
      <c r="K323" s="139">
        <v>553394687</v>
      </c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E323" s="139"/>
      <c r="AF323" s="139"/>
      <c r="AG323" s="139"/>
      <c r="AH323" s="139"/>
      <c r="AI323" s="139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</row>
    <row r="324" spans="1:56" s="1" customFormat="1" ht="15.75" hidden="1">
      <c r="A324" s="170" t="s">
        <v>1372</v>
      </c>
      <c r="B324" s="193"/>
      <c r="C324" s="193"/>
      <c r="D324" s="183"/>
      <c r="E324" s="170"/>
      <c r="F324" s="170">
        <v>519023491</v>
      </c>
      <c r="G324" s="170"/>
      <c r="H324" s="139"/>
      <c r="I324" s="139"/>
      <c r="J324" s="139"/>
      <c r="K324" s="139">
        <v>54333655</v>
      </c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  <c r="AA324" s="139"/>
      <c r="AB324" s="139"/>
      <c r="AC324" s="139"/>
      <c r="AD324" s="139"/>
      <c r="AE324" s="139"/>
      <c r="AF324" s="139"/>
      <c r="AG324" s="139"/>
      <c r="AH324" s="139"/>
      <c r="AI324" s="139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</row>
    <row r="325" spans="1:56" s="1" customFormat="1" ht="15.75" hidden="1">
      <c r="A325" s="543" t="s">
        <v>1116</v>
      </c>
      <c r="B325" s="543"/>
      <c r="C325" s="543"/>
      <c r="D325" s="183"/>
      <c r="E325" s="170"/>
      <c r="F325" s="172">
        <f>+SUM(F320:F324)</f>
        <v>10013258329</v>
      </c>
      <c r="G325" s="172">
        <f>+SUM(G320:G324)</f>
        <v>0</v>
      </c>
      <c r="H325" s="139"/>
      <c r="I325" s="139"/>
      <c r="J325" s="139"/>
      <c r="K325" s="139">
        <f>SUM(K320:K324)</f>
        <v>10115841683</v>
      </c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  <c r="AA325" s="139"/>
      <c r="AB325" s="139"/>
      <c r="AC325" s="139"/>
      <c r="AD325" s="139"/>
      <c r="AE325" s="139"/>
      <c r="AF325" s="139"/>
      <c r="AG325" s="139"/>
      <c r="AH325" s="139"/>
      <c r="AI325" s="139"/>
      <c r="AJ325" s="140"/>
      <c r="AK325" s="140"/>
      <c r="AL325" s="140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  <c r="BA325" s="140"/>
      <c r="BB325" s="140"/>
      <c r="BC325" s="140"/>
      <c r="BD325" s="140"/>
    </row>
    <row r="326" spans="1:56" s="1" customFormat="1" ht="15.75">
      <c r="A326" s="170" t="s">
        <v>1409</v>
      </c>
      <c r="B326" s="193"/>
      <c r="C326" s="193"/>
      <c r="D326" s="183"/>
      <c r="E326" s="170"/>
      <c r="F326" s="132" t="s">
        <v>1141</v>
      </c>
      <c r="G326" s="132" t="s">
        <v>1120</v>
      </c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39"/>
      <c r="AF326" s="139"/>
      <c r="AG326" s="139"/>
      <c r="AH326" s="139"/>
      <c r="AI326" s="139"/>
      <c r="AJ326" s="140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</row>
    <row r="327" spans="1:56" s="1" customFormat="1" ht="15.75">
      <c r="A327" s="169" t="s">
        <v>655</v>
      </c>
      <c r="B327" s="193"/>
      <c r="C327" s="193"/>
      <c r="D327" s="183"/>
      <c r="E327" s="170"/>
      <c r="F327" s="106">
        <v>1123399274</v>
      </c>
      <c r="G327" s="106">
        <v>3667839746</v>
      </c>
      <c r="H327" s="170">
        <f>4012140265*0.28</f>
        <v>1123399274.2</v>
      </c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  <c r="AD327" s="139"/>
      <c r="AE327" s="139"/>
      <c r="AF327" s="139"/>
      <c r="AG327" s="139"/>
      <c r="AH327" s="139"/>
      <c r="AI327" s="139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</row>
    <row r="328" spans="1:56" s="1" customFormat="1" ht="15.75">
      <c r="A328" s="169" t="s">
        <v>1201</v>
      </c>
      <c r="B328" s="193"/>
      <c r="C328" s="193"/>
      <c r="D328" s="183"/>
      <c r="E328" s="170"/>
      <c r="F328" s="106">
        <f>4012140265-F327</f>
        <v>2888740991</v>
      </c>
      <c r="G328" s="106">
        <v>8176434010</v>
      </c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39"/>
      <c r="AF328" s="139"/>
      <c r="AG328" s="139"/>
      <c r="AH328" s="139"/>
      <c r="AI328" s="139"/>
      <c r="AJ328" s="140"/>
      <c r="AK328" s="140"/>
      <c r="AL328" s="140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</row>
    <row r="329" spans="1:56" s="1" customFormat="1" ht="15.75">
      <c r="A329" s="172" t="s">
        <v>1410</v>
      </c>
      <c r="B329" s="193"/>
      <c r="C329" s="193"/>
      <c r="D329" s="183"/>
      <c r="E329" s="170"/>
      <c r="F329" s="170"/>
      <c r="G329" s="170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39"/>
      <c r="AF329" s="139"/>
      <c r="AG329" s="139"/>
      <c r="AH329" s="139"/>
      <c r="AI329" s="139"/>
      <c r="AJ329" s="140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</row>
    <row r="330" spans="1:56" s="1" customFormat="1" ht="15.75">
      <c r="A330" s="170" t="s">
        <v>1411</v>
      </c>
      <c r="B330" s="193"/>
      <c r="C330" s="193"/>
      <c r="D330" s="183"/>
      <c r="E330" s="170"/>
      <c r="F330" s="106" t="e">
        <f>+#REF!</f>
        <v>#REF!</v>
      </c>
      <c r="G330" s="170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  <c r="AC330" s="139"/>
      <c r="AD330" s="139"/>
      <c r="AE330" s="139"/>
      <c r="AF330" s="139"/>
      <c r="AG330" s="139"/>
      <c r="AH330" s="139"/>
      <c r="AI330" s="139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</row>
    <row r="331" spans="1:56" s="1" customFormat="1" ht="15.75">
      <c r="A331" s="170" t="s">
        <v>1413</v>
      </c>
      <c r="B331" s="193"/>
      <c r="C331" s="193"/>
      <c r="D331" s="183"/>
      <c r="E331" s="170"/>
      <c r="F331" s="170"/>
      <c r="G331" s="170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  <c r="AA331" s="139"/>
      <c r="AB331" s="139"/>
      <c r="AC331" s="139"/>
      <c r="AD331" s="139"/>
      <c r="AE331" s="139"/>
      <c r="AF331" s="139"/>
      <c r="AG331" s="139"/>
      <c r="AH331" s="139"/>
      <c r="AI331" s="139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  <c r="BA331" s="140"/>
      <c r="BB331" s="140"/>
      <c r="BC331" s="140"/>
      <c r="BD331" s="140"/>
    </row>
    <row r="332" spans="1:56" s="1" customFormat="1" ht="15.75">
      <c r="A332" s="170" t="s">
        <v>1376</v>
      </c>
      <c r="B332" s="193"/>
      <c r="C332" s="193"/>
      <c r="D332" s="183"/>
      <c r="E332" s="170"/>
      <c r="F332" s="172"/>
      <c r="G332" s="172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39"/>
      <c r="AD332" s="139"/>
      <c r="AE332" s="139"/>
      <c r="AF332" s="139"/>
      <c r="AG332" s="139"/>
      <c r="AH332" s="139"/>
      <c r="AI332" s="139"/>
      <c r="AJ332" s="140"/>
      <c r="AK332" s="140"/>
      <c r="AL332" s="140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  <c r="BA332" s="140"/>
      <c r="BB332" s="140"/>
      <c r="BC332" s="140"/>
      <c r="BD332" s="140"/>
    </row>
    <row r="333" spans="1:56" s="1" customFormat="1" ht="15.75">
      <c r="A333" s="193"/>
      <c r="B333" s="193"/>
      <c r="C333" s="193"/>
      <c r="D333" s="183"/>
      <c r="E333" s="170"/>
      <c r="F333" s="172"/>
      <c r="G333" s="172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  <c r="AD333" s="139"/>
      <c r="AE333" s="139"/>
      <c r="AF333" s="139"/>
      <c r="AG333" s="139"/>
      <c r="AH333" s="139"/>
      <c r="AI333" s="139"/>
      <c r="AJ333" s="140"/>
      <c r="AK333" s="140"/>
      <c r="AL333" s="140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</row>
    <row r="334" spans="1:56" s="2" customFormat="1" ht="15.75">
      <c r="A334" s="172" t="s">
        <v>1412</v>
      </c>
      <c r="B334" s="119"/>
      <c r="C334" s="119"/>
      <c r="D334" s="194"/>
      <c r="E334" s="195"/>
      <c r="F334" s="194"/>
      <c r="G334" s="196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6"/>
      <c r="AK334" s="126"/>
      <c r="AL334" s="126"/>
      <c r="AM334" s="126"/>
      <c r="AN334" s="126"/>
      <c r="AO334" s="126"/>
      <c r="AP334" s="126"/>
      <c r="AQ334" s="126"/>
      <c r="AR334" s="126"/>
      <c r="AS334" s="126"/>
      <c r="AT334" s="126"/>
      <c r="AU334" s="126"/>
      <c r="AV334" s="126"/>
      <c r="AW334" s="126"/>
      <c r="AX334" s="126"/>
      <c r="AY334" s="126"/>
      <c r="AZ334" s="126"/>
      <c r="BA334" s="126"/>
      <c r="BB334" s="126"/>
      <c r="BC334" s="126"/>
      <c r="BD334" s="126"/>
    </row>
    <row r="335" spans="1:56" s="2" customFormat="1" ht="15">
      <c r="A335" s="119" t="s">
        <v>1378</v>
      </c>
      <c r="B335" s="119"/>
      <c r="C335" s="119"/>
      <c r="D335" s="119"/>
      <c r="E335" s="174"/>
      <c r="F335" s="119"/>
      <c r="G335" s="119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6"/>
      <c r="AK335" s="126"/>
      <c r="AL335" s="126"/>
      <c r="AM335" s="126"/>
      <c r="AN335" s="126"/>
      <c r="AO335" s="126"/>
      <c r="AP335" s="126"/>
      <c r="AQ335" s="126"/>
      <c r="AR335" s="126"/>
      <c r="AS335" s="126"/>
      <c r="AT335" s="126"/>
      <c r="AU335" s="126"/>
      <c r="AV335" s="126"/>
      <c r="AW335" s="126"/>
      <c r="AX335" s="126"/>
      <c r="AY335" s="126"/>
      <c r="AZ335" s="126"/>
      <c r="BA335" s="126"/>
      <c r="BB335" s="126"/>
      <c r="BC335" s="126"/>
      <c r="BD335" s="126"/>
    </row>
    <row r="336" spans="1:56" s="2" customFormat="1" ht="15">
      <c r="A336" s="73" t="s">
        <v>1379</v>
      </c>
      <c r="B336" s="73"/>
      <c r="C336" s="73"/>
      <c r="D336" s="73"/>
      <c r="E336" s="73"/>
      <c r="F336" s="73"/>
      <c r="G336" s="73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6"/>
      <c r="AK336" s="126"/>
      <c r="AL336" s="126"/>
      <c r="AM336" s="126"/>
      <c r="AN336" s="126"/>
      <c r="AO336" s="126"/>
      <c r="AP336" s="126"/>
      <c r="AQ336" s="126"/>
      <c r="AR336" s="126"/>
      <c r="AS336" s="126"/>
      <c r="AT336" s="126"/>
      <c r="AU336" s="126"/>
      <c r="AV336" s="126"/>
      <c r="AW336" s="126"/>
      <c r="AX336" s="126"/>
      <c r="AY336" s="126"/>
      <c r="AZ336" s="126"/>
      <c r="BA336" s="126"/>
      <c r="BB336" s="126"/>
      <c r="BC336" s="126"/>
      <c r="BD336" s="126"/>
    </row>
    <row r="337" spans="1:56" s="2" customFormat="1" ht="15">
      <c r="A337" s="73" t="s">
        <v>651</v>
      </c>
      <c r="B337" s="73"/>
      <c r="C337" s="73"/>
      <c r="D337" s="73"/>
      <c r="E337" s="73"/>
      <c r="F337" s="73"/>
      <c r="G337" s="73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6"/>
      <c r="AK337" s="126"/>
      <c r="AL337" s="126"/>
      <c r="AM337" s="126"/>
      <c r="AN337" s="126"/>
      <c r="AO337" s="126"/>
      <c r="AP337" s="126"/>
      <c r="AQ337" s="126"/>
      <c r="AR337" s="126"/>
      <c r="AS337" s="126"/>
      <c r="AT337" s="126"/>
      <c r="AU337" s="126"/>
      <c r="AV337" s="126"/>
      <c r="AW337" s="126"/>
      <c r="AX337" s="126"/>
      <c r="AY337" s="126"/>
      <c r="AZ337" s="126"/>
      <c r="BA337" s="126"/>
      <c r="BB337" s="126"/>
      <c r="BC337" s="126"/>
      <c r="BD337" s="126"/>
    </row>
    <row r="338" spans="1:56" s="2" customFormat="1" ht="15.75">
      <c r="A338" s="73"/>
      <c r="B338" s="73"/>
      <c r="C338" s="73"/>
      <c r="D338" s="73"/>
      <c r="E338" s="121"/>
      <c r="F338" s="121" t="s">
        <v>310</v>
      </c>
      <c r="G338" s="121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6"/>
      <c r="AK338" s="126"/>
      <c r="AL338" s="126"/>
      <c r="AM338" s="126"/>
      <c r="AN338" s="126"/>
      <c r="AO338" s="126"/>
      <c r="AP338" s="126"/>
      <c r="AQ338" s="126"/>
      <c r="AR338" s="126"/>
      <c r="AS338" s="126"/>
      <c r="AT338" s="126"/>
      <c r="AU338" s="126"/>
      <c r="AV338" s="126"/>
      <c r="AW338" s="126"/>
      <c r="AX338" s="126"/>
      <c r="AY338" s="126"/>
      <c r="AZ338" s="126"/>
      <c r="BA338" s="126"/>
      <c r="BB338" s="126"/>
      <c r="BC338" s="126"/>
      <c r="BD338" s="126"/>
    </row>
    <row r="339" spans="1:56" s="2" customFormat="1" ht="15.75">
      <c r="A339" s="508" t="s">
        <v>1122</v>
      </c>
      <c r="B339" s="508"/>
      <c r="C339" s="508" t="s">
        <v>1112</v>
      </c>
      <c r="D339" s="508"/>
      <c r="E339" s="16"/>
      <c r="F339" s="508" t="s">
        <v>30</v>
      </c>
      <c r="G339" s="508"/>
      <c r="H339" s="197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  <c r="AW339" s="126"/>
      <c r="AX339" s="126"/>
      <c r="AY339" s="126"/>
      <c r="AZ339" s="126"/>
      <c r="BA339" s="126"/>
      <c r="BB339" s="126"/>
      <c r="BC339" s="126"/>
      <c r="BD339" s="126"/>
    </row>
    <row r="340" spans="1:56" s="44" customFormat="1" ht="18.75" customHeight="1">
      <c r="A340" s="545" t="s">
        <v>652</v>
      </c>
      <c r="B340" s="545"/>
      <c r="C340" s="545" t="s">
        <v>652</v>
      </c>
      <c r="D340" s="545"/>
      <c r="E340" s="121"/>
      <c r="F340" s="545" t="s">
        <v>653</v>
      </c>
      <c r="G340" s="545"/>
      <c r="H340" s="198"/>
      <c r="I340" s="198"/>
      <c r="J340" s="198"/>
      <c r="K340" s="198"/>
      <c r="L340" s="198"/>
      <c r="M340" s="198"/>
      <c r="N340" s="198"/>
      <c r="O340" s="198"/>
      <c r="P340" s="198"/>
      <c r="Q340" s="198"/>
      <c r="R340" s="198"/>
      <c r="S340" s="198"/>
      <c r="T340" s="198"/>
      <c r="U340" s="198"/>
      <c r="V340" s="198"/>
      <c r="W340" s="198"/>
      <c r="X340" s="198"/>
      <c r="Y340" s="198"/>
      <c r="Z340" s="198"/>
      <c r="AA340" s="198"/>
      <c r="AB340" s="198"/>
      <c r="AC340" s="198"/>
      <c r="AD340" s="198"/>
      <c r="AE340" s="198"/>
      <c r="AF340" s="198"/>
      <c r="AG340" s="198"/>
      <c r="AH340" s="198"/>
      <c r="AI340" s="198"/>
      <c r="AJ340" s="199"/>
      <c r="AK340" s="199"/>
      <c r="AL340" s="199"/>
      <c r="AM340" s="199"/>
      <c r="AN340" s="199"/>
      <c r="AO340" s="199"/>
      <c r="AP340" s="199"/>
      <c r="AQ340" s="199"/>
      <c r="AR340" s="199"/>
      <c r="AS340" s="199"/>
      <c r="AT340" s="199"/>
      <c r="AU340" s="199"/>
      <c r="AV340" s="199"/>
      <c r="AW340" s="199"/>
      <c r="AX340" s="199"/>
      <c r="AY340" s="199"/>
      <c r="AZ340" s="199"/>
      <c r="BA340" s="199"/>
      <c r="BB340" s="199"/>
      <c r="BC340" s="199"/>
      <c r="BD340" s="199"/>
    </row>
    <row r="341" spans="8:56" s="2" customFormat="1" ht="18.75" customHeight="1"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6"/>
      <c r="AK341" s="126"/>
      <c r="AL341" s="126"/>
      <c r="AM341" s="126"/>
      <c r="AN341" s="126"/>
      <c r="AO341" s="126"/>
      <c r="AP341" s="126"/>
      <c r="AQ341" s="126"/>
      <c r="AR341" s="126"/>
      <c r="AS341" s="126"/>
      <c r="AT341" s="126"/>
      <c r="AU341" s="126"/>
      <c r="AV341" s="126"/>
      <c r="AW341" s="126"/>
      <c r="AX341" s="126"/>
      <c r="AY341" s="126"/>
      <c r="AZ341" s="126"/>
      <c r="BA341" s="126"/>
      <c r="BB341" s="126"/>
      <c r="BC341" s="126"/>
      <c r="BD341" s="126"/>
    </row>
    <row r="342" spans="8:56" s="2" customFormat="1" ht="18.75" customHeight="1"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6"/>
      <c r="AK342" s="126"/>
      <c r="AL342" s="126"/>
      <c r="AM342" s="126"/>
      <c r="AN342" s="126"/>
      <c r="AO342" s="126"/>
      <c r="AP342" s="126"/>
      <c r="AQ342" s="126"/>
      <c r="AR342" s="126"/>
      <c r="AS342" s="126"/>
      <c r="AT342" s="126"/>
      <c r="AU342" s="126"/>
      <c r="AV342" s="126"/>
      <c r="AW342" s="126"/>
      <c r="AX342" s="126"/>
      <c r="AY342" s="126"/>
      <c r="AZ342" s="126"/>
      <c r="BA342" s="126"/>
      <c r="BB342" s="126"/>
      <c r="BC342" s="126"/>
      <c r="BD342" s="126"/>
    </row>
    <row r="343" spans="1:56" s="2" customFormat="1" ht="18.75" customHeight="1">
      <c r="A343" s="4"/>
      <c r="B343" s="4"/>
      <c r="C343" s="4"/>
      <c r="D343" s="4"/>
      <c r="E343" s="25"/>
      <c r="F343" s="25"/>
      <c r="G343" s="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6"/>
      <c r="AK343" s="126"/>
      <c r="AL343" s="126"/>
      <c r="AM343" s="126"/>
      <c r="AN343" s="126"/>
      <c r="AO343" s="126"/>
      <c r="AP343" s="126"/>
      <c r="AQ343" s="126"/>
      <c r="AR343" s="126"/>
      <c r="AS343" s="126"/>
      <c r="AT343" s="126"/>
      <c r="AU343" s="126"/>
      <c r="AV343" s="126"/>
      <c r="AW343" s="126"/>
      <c r="AX343" s="126"/>
      <c r="AY343" s="126"/>
      <c r="AZ343" s="126"/>
      <c r="BA343" s="126"/>
      <c r="BB343" s="126"/>
      <c r="BC343" s="126"/>
      <c r="BD343" s="126"/>
    </row>
    <row r="344" spans="1:56" s="2" customFormat="1" ht="18.75" customHeight="1">
      <c r="A344" s="434"/>
      <c r="B344" s="434"/>
      <c r="C344" s="4"/>
      <c r="D344" s="4"/>
      <c r="E344" s="4"/>
      <c r="F344" s="435"/>
      <c r="G344" s="435"/>
      <c r="H344" s="197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6"/>
      <c r="AK344" s="126"/>
      <c r="AL344" s="126"/>
      <c r="AM344" s="126"/>
      <c r="AN344" s="126"/>
      <c r="AO344" s="126"/>
      <c r="AP344" s="126"/>
      <c r="AQ344" s="126"/>
      <c r="AR344" s="126"/>
      <c r="AS344" s="126"/>
      <c r="AT344" s="126"/>
      <c r="AU344" s="126"/>
      <c r="AV344" s="126"/>
      <c r="AW344" s="126"/>
      <c r="AX344" s="126"/>
      <c r="AY344" s="126"/>
      <c r="AZ344" s="126"/>
      <c r="BA344" s="126"/>
      <c r="BB344" s="126"/>
      <c r="BC344" s="126"/>
      <c r="BD344" s="126"/>
    </row>
    <row r="345" spans="8:56" s="2" customFormat="1" ht="18.75" customHeight="1"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6"/>
      <c r="AT345" s="126"/>
      <c r="AU345" s="126"/>
      <c r="AV345" s="126"/>
      <c r="AW345" s="126"/>
      <c r="AX345" s="126"/>
      <c r="AY345" s="126"/>
      <c r="AZ345" s="126"/>
      <c r="BA345" s="126"/>
      <c r="BB345" s="126"/>
      <c r="BC345" s="126"/>
      <c r="BD345" s="126"/>
    </row>
    <row r="346" spans="8:56" s="2" customFormat="1" ht="18.75" customHeight="1"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6"/>
      <c r="AK346" s="126"/>
      <c r="AL346" s="126"/>
      <c r="AM346" s="126"/>
      <c r="AN346" s="126"/>
      <c r="AO346" s="126"/>
      <c r="AP346" s="126"/>
      <c r="AQ346" s="126"/>
      <c r="AR346" s="126"/>
      <c r="AS346" s="126"/>
      <c r="AT346" s="126"/>
      <c r="AU346" s="126"/>
      <c r="AV346" s="126"/>
      <c r="AW346" s="126"/>
      <c r="AX346" s="126"/>
      <c r="AY346" s="126"/>
      <c r="AZ346" s="126"/>
      <c r="BA346" s="126"/>
      <c r="BB346" s="126"/>
      <c r="BC346" s="126"/>
      <c r="BD346" s="126"/>
    </row>
    <row r="347" spans="8:56" s="2" customFormat="1" ht="18.75" customHeight="1"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  <c r="AH347" s="125"/>
      <c r="AI347" s="125"/>
      <c r="AJ347" s="126"/>
      <c r="AK347" s="126"/>
      <c r="AL347" s="126"/>
      <c r="AM347" s="126"/>
      <c r="AN347" s="126"/>
      <c r="AO347" s="126"/>
      <c r="AP347" s="126"/>
      <c r="AQ347" s="126"/>
      <c r="AR347" s="126"/>
      <c r="AS347" s="126"/>
      <c r="AT347" s="126"/>
      <c r="AU347" s="126"/>
      <c r="AV347" s="126"/>
      <c r="AW347" s="126"/>
      <c r="AX347" s="126"/>
      <c r="AY347" s="126"/>
      <c r="AZ347" s="126"/>
      <c r="BA347" s="126"/>
      <c r="BB347" s="126"/>
      <c r="BC347" s="126"/>
      <c r="BD347" s="126"/>
    </row>
    <row r="348" spans="8:56" s="2" customFormat="1" ht="18.75" customHeight="1"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  <c r="AH348" s="125"/>
      <c r="AI348" s="125"/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6"/>
      <c r="AU348" s="126"/>
      <c r="AV348" s="126"/>
      <c r="AW348" s="126"/>
      <c r="AX348" s="126"/>
      <c r="AY348" s="126"/>
      <c r="AZ348" s="126"/>
      <c r="BA348" s="126"/>
      <c r="BB348" s="126"/>
      <c r="BC348" s="126"/>
      <c r="BD348" s="126"/>
    </row>
    <row r="349" spans="8:56" s="2" customFormat="1" ht="18.75" customHeight="1"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6"/>
      <c r="AK349" s="126"/>
      <c r="AL349" s="126"/>
      <c r="AM349" s="126"/>
      <c r="AN349" s="126"/>
      <c r="AO349" s="126"/>
      <c r="AP349" s="126"/>
      <c r="AQ349" s="126"/>
      <c r="AR349" s="126"/>
      <c r="AS349" s="126"/>
      <c r="AT349" s="126"/>
      <c r="AU349" s="126"/>
      <c r="AV349" s="126"/>
      <c r="AW349" s="126"/>
      <c r="AX349" s="126"/>
      <c r="AY349" s="126"/>
      <c r="AZ349" s="126"/>
      <c r="BA349" s="126"/>
      <c r="BB349" s="126"/>
      <c r="BC349" s="126"/>
      <c r="BD349" s="126"/>
    </row>
    <row r="350" spans="8:56" s="2" customFormat="1" ht="18.75" customHeight="1"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  <c r="AH350" s="125"/>
      <c r="AI350" s="125"/>
      <c r="AJ350" s="126"/>
      <c r="AK350" s="126"/>
      <c r="AL350" s="126"/>
      <c r="AM350" s="126"/>
      <c r="AN350" s="126"/>
      <c r="AO350" s="126"/>
      <c r="AP350" s="126"/>
      <c r="AQ350" s="126"/>
      <c r="AR350" s="126"/>
      <c r="AS350" s="126"/>
      <c r="AT350" s="126"/>
      <c r="AU350" s="126"/>
      <c r="AV350" s="126"/>
      <c r="AW350" s="126"/>
      <c r="AX350" s="126"/>
      <c r="AY350" s="126"/>
      <c r="AZ350" s="126"/>
      <c r="BA350" s="126"/>
      <c r="BB350" s="126"/>
      <c r="BC350" s="126"/>
      <c r="BD350" s="126"/>
    </row>
    <row r="351" spans="8:56" s="2" customFormat="1" ht="18.75" customHeight="1"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  <c r="AH351" s="125"/>
      <c r="AI351" s="125"/>
      <c r="AJ351" s="126"/>
      <c r="AK351" s="126"/>
      <c r="AL351" s="126"/>
      <c r="AM351" s="126"/>
      <c r="AN351" s="126"/>
      <c r="AO351" s="126"/>
      <c r="AP351" s="126"/>
      <c r="AQ351" s="126"/>
      <c r="AR351" s="126"/>
      <c r="AS351" s="126"/>
      <c r="AT351" s="126"/>
      <c r="AU351" s="126"/>
      <c r="AV351" s="126"/>
      <c r="AW351" s="126"/>
      <c r="AX351" s="126"/>
      <c r="AY351" s="126"/>
      <c r="AZ351" s="126"/>
      <c r="BA351" s="126"/>
      <c r="BB351" s="126"/>
      <c r="BC351" s="126"/>
      <c r="BD351" s="126"/>
    </row>
    <row r="352" spans="8:56" s="2" customFormat="1" ht="18.75" customHeight="1"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  <c r="BC352" s="126"/>
      <c r="BD352" s="126"/>
    </row>
    <row r="353" spans="8:56" s="2" customFormat="1" ht="18.75" customHeight="1"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6"/>
      <c r="AK353" s="126"/>
      <c r="AL353" s="126"/>
      <c r="AM353" s="126"/>
      <c r="AN353" s="126"/>
      <c r="AO353" s="126"/>
      <c r="AP353" s="126"/>
      <c r="AQ353" s="126"/>
      <c r="AR353" s="126"/>
      <c r="AS353" s="126"/>
      <c r="AT353" s="126"/>
      <c r="AU353" s="126"/>
      <c r="AV353" s="126"/>
      <c r="AW353" s="126"/>
      <c r="AX353" s="126"/>
      <c r="AY353" s="126"/>
      <c r="AZ353" s="126"/>
      <c r="BA353" s="126"/>
      <c r="BB353" s="126"/>
      <c r="BC353" s="126"/>
      <c r="BD353" s="126"/>
    </row>
    <row r="354" spans="8:56" s="2" customFormat="1" ht="18.75" customHeight="1"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6"/>
      <c r="AK354" s="126"/>
      <c r="AL354" s="126"/>
      <c r="AM354" s="126"/>
      <c r="AN354" s="126"/>
      <c r="AO354" s="126"/>
      <c r="AP354" s="126"/>
      <c r="AQ354" s="126"/>
      <c r="AR354" s="126"/>
      <c r="AS354" s="126"/>
      <c r="AT354" s="126"/>
      <c r="AU354" s="126"/>
      <c r="AV354" s="126"/>
      <c r="AW354" s="126"/>
      <c r="AX354" s="126"/>
      <c r="AY354" s="126"/>
      <c r="AZ354" s="126"/>
      <c r="BA354" s="126"/>
      <c r="BB354" s="126"/>
      <c r="BC354" s="126"/>
      <c r="BD354" s="126"/>
    </row>
    <row r="355" spans="8:56" s="2" customFormat="1" ht="18.75" customHeight="1"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  <c r="AH355" s="125"/>
      <c r="AI355" s="125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6"/>
      <c r="BD355" s="126"/>
    </row>
    <row r="356" spans="8:56" s="2" customFormat="1" ht="18.75" customHeight="1"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  <c r="AG356" s="125"/>
      <c r="AH356" s="125"/>
      <c r="AI356" s="125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26"/>
      <c r="BB356" s="126"/>
      <c r="BC356" s="126"/>
      <c r="BD356" s="126"/>
    </row>
    <row r="357" spans="8:56" s="2" customFormat="1" ht="18.75" customHeight="1"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  <c r="AH357" s="125"/>
      <c r="AI357" s="125"/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6"/>
      <c r="AT357" s="126"/>
      <c r="AU357" s="126"/>
      <c r="AV357" s="126"/>
      <c r="AW357" s="126"/>
      <c r="AX357" s="126"/>
      <c r="AY357" s="126"/>
      <c r="AZ357" s="126"/>
      <c r="BA357" s="126"/>
      <c r="BB357" s="126"/>
      <c r="BC357" s="126"/>
      <c r="BD357" s="126"/>
    </row>
    <row r="358" spans="8:56" s="2" customFormat="1" ht="18.75" customHeight="1"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  <c r="AG358" s="125"/>
      <c r="AH358" s="125"/>
      <c r="AI358" s="125"/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  <c r="AW358" s="126"/>
      <c r="AX358" s="126"/>
      <c r="AY358" s="126"/>
      <c r="AZ358" s="126"/>
      <c r="BA358" s="126"/>
      <c r="BB358" s="126"/>
      <c r="BC358" s="126"/>
      <c r="BD358" s="126"/>
    </row>
    <row r="359" spans="8:56" s="2" customFormat="1" ht="18.75" customHeight="1"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  <c r="AG359" s="125"/>
      <c r="AH359" s="125"/>
      <c r="AI359" s="125"/>
      <c r="AJ359" s="126"/>
      <c r="AK359" s="126"/>
      <c r="AL359" s="126"/>
      <c r="AM359" s="126"/>
      <c r="AN359" s="126"/>
      <c r="AO359" s="126"/>
      <c r="AP359" s="126"/>
      <c r="AQ359" s="126"/>
      <c r="AR359" s="126"/>
      <c r="AS359" s="126"/>
      <c r="AT359" s="126"/>
      <c r="AU359" s="126"/>
      <c r="AV359" s="126"/>
      <c r="AW359" s="126"/>
      <c r="AX359" s="126"/>
      <c r="AY359" s="126"/>
      <c r="AZ359" s="126"/>
      <c r="BA359" s="126"/>
      <c r="BB359" s="126"/>
      <c r="BC359" s="126"/>
      <c r="BD359" s="126"/>
    </row>
    <row r="360" spans="8:56" s="2" customFormat="1" ht="18.75" customHeight="1"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  <c r="AH360" s="125"/>
      <c r="AI360" s="125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26"/>
      <c r="BB360" s="126"/>
      <c r="BC360" s="126"/>
      <c r="BD360" s="126"/>
    </row>
    <row r="361" spans="8:56" s="2" customFormat="1" ht="18.75" customHeight="1"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6"/>
      <c r="AK361" s="126"/>
      <c r="AL361" s="126"/>
      <c r="AM361" s="126"/>
      <c r="AN361" s="126"/>
      <c r="AO361" s="126"/>
      <c r="AP361" s="126"/>
      <c r="AQ361" s="126"/>
      <c r="AR361" s="126"/>
      <c r="AS361" s="126"/>
      <c r="AT361" s="126"/>
      <c r="AU361" s="126"/>
      <c r="AV361" s="126"/>
      <c r="AW361" s="126"/>
      <c r="AX361" s="126"/>
      <c r="AY361" s="126"/>
      <c r="AZ361" s="126"/>
      <c r="BA361" s="126"/>
      <c r="BB361" s="126"/>
      <c r="BC361" s="126"/>
      <c r="BD361" s="126"/>
    </row>
    <row r="362" spans="8:56" s="2" customFormat="1" ht="18.75" customHeight="1"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  <c r="AG362" s="125"/>
      <c r="AH362" s="125"/>
      <c r="AI362" s="125"/>
      <c r="AJ362" s="126"/>
      <c r="AK362" s="126"/>
      <c r="AL362" s="126"/>
      <c r="AM362" s="126"/>
      <c r="AN362" s="126"/>
      <c r="AO362" s="126"/>
      <c r="AP362" s="126"/>
      <c r="AQ362" s="126"/>
      <c r="AR362" s="126"/>
      <c r="AS362" s="126"/>
      <c r="AT362" s="126"/>
      <c r="AU362" s="126"/>
      <c r="AV362" s="126"/>
      <c r="AW362" s="126"/>
      <c r="AX362" s="126"/>
      <c r="AY362" s="126"/>
      <c r="AZ362" s="126"/>
      <c r="BA362" s="126"/>
      <c r="BB362" s="126"/>
      <c r="BC362" s="126"/>
      <c r="BD362" s="126"/>
    </row>
    <row r="363" spans="8:56" s="2" customFormat="1" ht="18.75" customHeight="1"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  <c r="AG363" s="125"/>
      <c r="AH363" s="125"/>
      <c r="AI363" s="125"/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  <c r="AW363" s="126"/>
      <c r="AX363" s="126"/>
      <c r="AY363" s="126"/>
      <c r="AZ363" s="126"/>
      <c r="BA363" s="126"/>
      <c r="BB363" s="126"/>
      <c r="BC363" s="126"/>
      <c r="BD363" s="126"/>
    </row>
    <row r="364" spans="8:56" s="2" customFormat="1" ht="18.75" customHeight="1"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6"/>
      <c r="AK364" s="126"/>
      <c r="AL364" s="126"/>
      <c r="AM364" s="126"/>
      <c r="AN364" s="126"/>
      <c r="AO364" s="126"/>
      <c r="AP364" s="126"/>
      <c r="AQ364" s="126"/>
      <c r="AR364" s="126"/>
      <c r="AS364" s="126"/>
      <c r="AT364" s="126"/>
      <c r="AU364" s="126"/>
      <c r="AV364" s="126"/>
      <c r="AW364" s="126"/>
      <c r="AX364" s="126"/>
      <c r="AY364" s="126"/>
      <c r="AZ364" s="126"/>
      <c r="BA364" s="126"/>
      <c r="BB364" s="126"/>
      <c r="BC364" s="126"/>
      <c r="BD364" s="126"/>
    </row>
    <row r="365" spans="8:56" s="2" customFormat="1" ht="18.75" customHeight="1"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126"/>
      <c r="AW365" s="126"/>
      <c r="AX365" s="126"/>
      <c r="AY365" s="126"/>
      <c r="AZ365" s="126"/>
      <c r="BA365" s="126"/>
      <c r="BB365" s="126"/>
      <c r="BC365" s="126"/>
      <c r="BD365" s="126"/>
    </row>
    <row r="366" spans="8:56" s="2" customFormat="1" ht="18.75" customHeight="1"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  <c r="AW366" s="126"/>
      <c r="AX366" s="126"/>
      <c r="AY366" s="126"/>
      <c r="AZ366" s="126"/>
      <c r="BA366" s="126"/>
      <c r="BB366" s="126"/>
      <c r="BC366" s="126"/>
      <c r="BD366" s="126"/>
    </row>
    <row r="367" spans="8:56" s="2" customFormat="1" ht="18.75" customHeight="1"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  <c r="AG367" s="125"/>
      <c r="AH367" s="125"/>
      <c r="AI367" s="125"/>
      <c r="AJ367" s="126"/>
      <c r="AK367" s="126"/>
      <c r="AL367" s="126"/>
      <c r="AM367" s="126"/>
      <c r="AN367" s="126"/>
      <c r="AO367" s="126"/>
      <c r="AP367" s="126"/>
      <c r="AQ367" s="126"/>
      <c r="AR367" s="126"/>
      <c r="AS367" s="126"/>
      <c r="AT367" s="126"/>
      <c r="AU367" s="126"/>
      <c r="AV367" s="126"/>
      <c r="AW367" s="126"/>
      <c r="AX367" s="126"/>
      <c r="AY367" s="126"/>
      <c r="AZ367" s="126"/>
      <c r="BA367" s="126"/>
      <c r="BB367" s="126"/>
      <c r="BC367" s="126"/>
      <c r="BD367" s="126"/>
    </row>
    <row r="368" spans="8:56" s="2" customFormat="1" ht="18.75" customHeight="1"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  <c r="AH368" s="125"/>
      <c r="AI368" s="125"/>
      <c r="AJ368" s="126"/>
      <c r="AK368" s="126"/>
      <c r="AL368" s="126"/>
      <c r="AM368" s="126"/>
      <c r="AN368" s="126"/>
      <c r="AO368" s="126"/>
      <c r="AP368" s="126"/>
      <c r="AQ368" s="126"/>
      <c r="AR368" s="126"/>
      <c r="AS368" s="126"/>
      <c r="AT368" s="126"/>
      <c r="AU368" s="126"/>
      <c r="AV368" s="126"/>
      <c r="AW368" s="126"/>
      <c r="AX368" s="126"/>
      <c r="AY368" s="126"/>
      <c r="AZ368" s="126"/>
      <c r="BA368" s="126"/>
      <c r="BB368" s="126"/>
      <c r="BC368" s="126"/>
      <c r="BD368" s="126"/>
    </row>
    <row r="369" spans="8:56" s="2" customFormat="1" ht="15"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  <c r="AG369" s="125"/>
      <c r="AH369" s="125"/>
      <c r="AI369" s="125"/>
      <c r="AJ369" s="126"/>
      <c r="AK369" s="126"/>
      <c r="AL369" s="126"/>
      <c r="AM369" s="126"/>
      <c r="AN369" s="126"/>
      <c r="AO369" s="126"/>
      <c r="AP369" s="126"/>
      <c r="AQ369" s="126"/>
      <c r="AR369" s="126"/>
      <c r="AS369" s="126"/>
      <c r="AT369" s="126"/>
      <c r="AU369" s="126"/>
      <c r="AV369" s="126"/>
      <c r="AW369" s="126"/>
      <c r="AX369" s="126"/>
      <c r="AY369" s="126"/>
      <c r="AZ369" s="126"/>
      <c r="BA369" s="126"/>
      <c r="BB369" s="126"/>
      <c r="BC369" s="126"/>
      <c r="BD369" s="126"/>
    </row>
    <row r="370" spans="8:56" s="2" customFormat="1" ht="15"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6"/>
      <c r="AK370" s="126"/>
      <c r="AL370" s="126"/>
      <c r="AM370" s="126"/>
      <c r="AN370" s="126"/>
      <c r="AO370" s="126"/>
      <c r="AP370" s="126"/>
      <c r="AQ370" s="126"/>
      <c r="AR370" s="126"/>
      <c r="AS370" s="126"/>
      <c r="AT370" s="126"/>
      <c r="AU370" s="126"/>
      <c r="AV370" s="126"/>
      <c r="AW370" s="126"/>
      <c r="AX370" s="126"/>
      <c r="AY370" s="126"/>
      <c r="AZ370" s="126"/>
      <c r="BA370" s="126"/>
      <c r="BB370" s="126"/>
      <c r="BC370" s="126"/>
      <c r="BD370" s="126"/>
    </row>
    <row r="371" spans="8:56" s="2" customFormat="1" ht="15"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  <c r="AG371" s="125"/>
      <c r="AH371" s="125"/>
      <c r="AI371" s="125"/>
      <c r="AJ371" s="126"/>
      <c r="AK371" s="126"/>
      <c r="AL371" s="126"/>
      <c r="AM371" s="126"/>
      <c r="AN371" s="126"/>
      <c r="AO371" s="126"/>
      <c r="AP371" s="126"/>
      <c r="AQ371" s="126"/>
      <c r="AR371" s="126"/>
      <c r="AS371" s="126"/>
      <c r="AT371" s="126"/>
      <c r="AU371" s="126"/>
      <c r="AV371" s="126"/>
      <c r="AW371" s="126"/>
      <c r="AX371" s="126"/>
      <c r="AY371" s="126"/>
      <c r="AZ371" s="126"/>
      <c r="BA371" s="126"/>
      <c r="BB371" s="126"/>
      <c r="BC371" s="126"/>
      <c r="BD371" s="126"/>
    </row>
    <row r="372" spans="8:56" s="2" customFormat="1" ht="15"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  <c r="AG372" s="125"/>
      <c r="AH372" s="125"/>
      <c r="AI372" s="125"/>
      <c r="AJ372" s="126"/>
      <c r="AK372" s="126"/>
      <c r="AL372" s="126"/>
      <c r="AM372" s="126"/>
      <c r="AN372" s="126"/>
      <c r="AO372" s="126"/>
      <c r="AP372" s="126"/>
      <c r="AQ372" s="126"/>
      <c r="AR372" s="126"/>
      <c r="AS372" s="126"/>
      <c r="AT372" s="126"/>
      <c r="AU372" s="126"/>
      <c r="AV372" s="126"/>
      <c r="AW372" s="126"/>
      <c r="AX372" s="126"/>
      <c r="AY372" s="126"/>
      <c r="AZ372" s="126"/>
      <c r="BA372" s="126"/>
      <c r="BB372" s="126"/>
      <c r="BC372" s="126"/>
      <c r="BD372" s="126"/>
    </row>
    <row r="373" spans="8:56" s="2" customFormat="1" ht="15"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6"/>
      <c r="AK373" s="126"/>
      <c r="AL373" s="126"/>
      <c r="AM373" s="126"/>
      <c r="AN373" s="126"/>
      <c r="AO373" s="126"/>
      <c r="AP373" s="126"/>
      <c r="AQ373" s="126"/>
      <c r="AR373" s="126"/>
      <c r="AS373" s="126"/>
      <c r="AT373" s="126"/>
      <c r="AU373" s="126"/>
      <c r="AV373" s="126"/>
      <c r="AW373" s="126"/>
      <c r="AX373" s="126"/>
      <c r="AY373" s="126"/>
      <c r="AZ373" s="126"/>
      <c r="BA373" s="126"/>
      <c r="BB373" s="126"/>
      <c r="BC373" s="126"/>
      <c r="BD373" s="126"/>
    </row>
    <row r="374" spans="8:56" s="2" customFormat="1" ht="15"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  <c r="AG374" s="125"/>
      <c r="AH374" s="125"/>
      <c r="AI374" s="125"/>
      <c r="AJ374" s="126"/>
      <c r="AK374" s="126"/>
      <c r="AL374" s="126"/>
      <c r="AM374" s="126"/>
      <c r="AN374" s="126"/>
      <c r="AO374" s="126"/>
      <c r="AP374" s="126"/>
      <c r="AQ374" s="126"/>
      <c r="AR374" s="126"/>
      <c r="AS374" s="126"/>
      <c r="AT374" s="126"/>
      <c r="AU374" s="126"/>
      <c r="AV374" s="126"/>
      <c r="AW374" s="126"/>
      <c r="AX374" s="126"/>
      <c r="AY374" s="126"/>
      <c r="AZ374" s="126"/>
      <c r="BA374" s="126"/>
      <c r="BB374" s="126"/>
      <c r="BC374" s="126"/>
      <c r="BD374" s="126"/>
    </row>
    <row r="375" spans="8:56" s="2" customFormat="1" ht="15"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6"/>
      <c r="AK375" s="126"/>
      <c r="AL375" s="126"/>
      <c r="AM375" s="126"/>
      <c r="AN375" s="126"/>
      <c r="AO375" s="126"/>
      <c r="AP375" s="126"/>
      <c r="AQ375" s="126"/>
      <c r="AR375" s="126"/>
      <c r="AS375" s="126"/>
      <c r="AT375" s="126"/>
      <c r="AU375" s="126"/>
      <c r="AV375" s="126"/>
      <c r="AW375" s="126"/>
      <c r="AX375" s="126"/>
      <c r="AY375" s="126"/>
      <c r="AZ375" s="126"/>
      <c r="BA375" s="126"/>
      <c r="BB375" s="126"/>
      <c r="BC375" s="126"/>
      <c r="BD375" s="126"/>
    </row>
    <row r="376" spans="8:56" s="2" customFormat="1" ht="15"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  <c r="AG376" s="125"/>
      <c r="AH376" s="125"/>
      <c r="AI376" s="125"/>
      <c r="AJ376" s="126"/>
      <c r="AK376" s="126"/>
      <c r="AL376" s="126"/>
      <c r="AM376" s="126"/>
      <c r="AN376" s="126"/>
      <c r="AO376" s="126"/>
      <c r="AP376" s="126"/>
      <c r="AQ376" s="126"/>
      <c r="AR376" s="126"/>
      <c r="AS376" s="126"/>
      <c r="AT376" s="126"/>
      <c r="AU376" s="126"/>
      <c r="AV376" s="126"/>
      <c r="AW376" s="126"/>
      <c r="AX376" s="126"/>
      <c r="AY376" s="126"/>
      <c r="AZ376" s="126"/>
      <c r="BA376" s="126"/>
      <c r="BB376" s="126"/>
      <c r="BC376" s="126"/>
      <c r="BD376" s="126"/>
    </row>
    <row r="377" spans="8:56" s="2" customFormat="1" ht="15"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G377" s="125"/>
      <c r="AH377" s="125"/>
      <c r="AI377" s="125"/>
      <c r="AJ377" s="126"/>
      <c r="AK377" s="126"/>
      <c r="AL377" s="126"/>
      <c r="AM377" s="126"/>
      <c r="AN377" s="126"/>
      <c r="AO377" s="126"/>
      <c r="AP377" s="126"/>
      <c r="AQ377" s="126"/>
      <c r="AR377" s="126"/>
      <c r="AS377" s="126"/>
      <c r="AT377" s="126"/>
      <c r="AU377" s="126"/>
      <c r="AV377" s="126"/>
      <c r="AW377" s="126"/>
      <c r="AX377" s="126"/>
      <c r="AY377" s="126"/>
      <c r="AZ377" s="126"/>
      <c r="BA377" s="126"/>
      <c r="BB377" s="126"/>
      <c r="BC377" s="126"/>
      <c r="BD377" s="126"/>
    </row>
    <row r="378" spans="8:56" s="2" customFormat="1" ht="15"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6"/>
      <c r="AK378" s="126"/>
      <c r="AL378" s="126"/>
      <c r="AM378" s="126"/>
      <c r="AN378" s="126"/>
      <c r="AO378" s="126"/>
      <c r="AP378" s="126"/>
      <c r="AQ378" s="126"/>
      <c r="AR378" s="126"/>
      <c r="AS378" s="126"/>
      <c r="AT378" s="126"/>
      <c r="AU378" s="126"/>
      <c r="AV378" s="126"/>
      <c r="AW378" s="126"/>
      <c r="AX378" s="126"/>
      <c r="AY378" s="126"/>
      <c r="AZ378" s="126"/>
      <c r="BA378" s="126"/>
      <c r="BB378" s="126"/>
      <c r="BC378" s="126"/>
      <c r="BD378" s="126"/>
    </row>
    <row r="379" spans="8:56" s="2" customFormat="1" ht="15"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6"/>
      <c r="AK379" s="126"/>
      <c r="AL379" s="126"/>
      <c r="AM379" s="126"/>
      <c r="AN379" s="126"/>
      <c r="AO379" s="126"/>
      <c r="AP379" s="126"/>
      <c r="AQ379" s="126"/>
      <c r="AR379" s="126"/>
      <c r="AS379" s="126"/>
      <c r="AT379" s="126"/>
      <c r="AU379" s="126"/>
      <c r="AV379" s="126"/>
      <c r="AW379" s="126"/>
      <c r="AX379" s="126"/>
      <c r="AY379" s="126"/>
      <c r="AZ379" s="126"/>
      <c r="BA379" s="126"/>
      <c r="BB379" s="126"/>
      <c r="BC379" s="126"/>
      <c r="BD379" s="126"/>
    </row>
  </sheetData>
  <mergeCells count="210">
    <mergeCell ref="A339:B339"/>
    <mergeCell ref="F339:G339"/>
    <mergeCell ref="A344:B344"/>
    <mergeCell ref="F344:G344"/>
    <mergeCell ref="A340:B340"/>
    <mergeCell ref="F340:G340"/>
    <mergeCell ref="C339:D339"/>
    <mergeCell ref="C340:D340"/>
    <mergeCell ref="A278:B278"/>
    <mergeCell ref="A325:C325"/>
    <mergeCell ref="A294:D294"/>
    <mergeCell ref="A313:D313"/>
    <mergeCell ref="A295:G295"/>
    <mergeCell ref="A187:C187"/>
    <mergeCell ref="A191:C191"/>
    <mergeCell ref="I208:O208"/>
    <mergeCell ref="A277:B277"/>
    <mergeCell ref="G153:G154"/>
    <mergeCell ref="I157:O157"/>
    <mergeCell ref="A285:B285"/>
    <mergeCell ref="A243:D243"/>
    <mergeCell ref="A253:D253"/>
    <mergeCell ref="A262:D262"/>
    <mergeCell ref="A266:D266"/>
    <mergeCell ref="A274:D274"/>
    <mergeCell ref="A183:C184"/>
    <mergeCell ref="G204:G205"/>
    <mergeCell ref="A147:E147"/>
    <mergeCell ref="A148:E148"/>
    <mergeCell ref="A149:D149"/>
    <mergeCell ref="A151:D151"/>
    <mergeCell ref="A143:E143"/>
    <mergeCell ref="A144:E144"/>
    <mergeCell ref="A145:E145"/>
    <mergeCell ref="A146:E146"/>
    <mergeCell ref="A139:D139"/>
    <mergeCell ref="A140:D140"/>
    <mergeCell ref="A141:D141"/>
    <mergeCell ref="A142:E142"/>
    <mergeCell ref="A134:E134"/>
    <mergeCell ref="A135:E135"/>
    <mergeCell ref="A136:D136"/>
    <mergeCell ref="A138:D138"/>
    <mergeCell ref="A129:E129"/>
    <mergeCell ref="A130:E130"/>
    <mergeCell ref="A132:D132"/>
    <mergeCell ref="A133:D133"/>
    <mergeCell ref="A124:E124"/>
    <mergeCell ref="A125:E125"/>
    <mergeCell ref="A127:D127"/>
    <mergeCell ref="A128:E128"/>
    <mergeCell ref="A120:D120"/>
    <mergeCell ref="A121:D121"/>
    <mergeCell ref="A122:D122"/>
    <mergeCell ref="A123:E123"/>
    <mergeCell ref="A116:D116"/>
    <mergeCell ref="A117:D117"/>
    <mergeCell ref="A118:D118"/>
    <mergeCell ref="A119:D119"/>
    <mergeCell ref="A112:D112"/>
    <mergeCell ref="A113:D113"/>
    <mergeCell ref="A114:D114"/>
    <mergeCell ref="A115:D115"/>
    <mergeCell ref="A107:D107"/>
    <mergeCell ref="A108:D108"/>
    <mergeCell ref="A109:D109"/>
    <mergeCell ref="A110:D110"/>
    <mergeCell ref="A103:D103"/>
    <mergeCell ref="A104:D104"/>
    <mergeCell ref="A105:D105"/>
    <mergeCell ref="A106:D106"/>
    <mergeCell ref="A99:D99"/>
    <mergeCell ref="A100:D100"/>
    <mergeCell ref="A101:D101"/>
    <mergeCell ref="A102:D102"/>
    <mergeCell ref="A94:D94"/>
    <mergeCell ref="A95:D95"/>
    <mergeCell ref="A97:D97"/>
    <mergeCell ref="A98:D98"/>
    <mergeCell ref="A90:D90"/>
    <mergeCell ref="A91:D91"/>
    <mergeCell ref="A92:D92"/>
    <mergeCell ref="A93:D93"/>
    <mergeCell ref="A85:D85"/>
    <mergeCell ref="A86:D86"/>
    <mergeCell ref="A87:D87"/>
    <mergeCell ref="A89:D89"/>
    <mergeCell ref="A81:D81"/>
    <mergeCell ref="A82:D82"/>
    <mergeCell ref="A83:D83"/>
    <mergeCell ref="A84:D84"/>
    <mergeCell ref="A73:G73"/>
    <mergeCell ref="A74:G74"/>
    <mergeCell ref="A76:G76"/>
    <mergeCell ref="A80:G80"/>
    <mergeCell ref="A75:G75"/>
    <mergeCell ref="A77:G77"/>
    <mergeCell ref="A78:G78"/>
    <mergeCell ref="A67:G67"/>
    <mergeCell ref="A70:G70"/>
    <mergeCell ref="A71:G71"/>
    <mergeCell ref="A72:G72"/>
    <mergeCell ref="A68:G68"/>
    <mergeCell ref="A69:G69"/>
    <mergeCell ref="A63:G63"/>
    <mergeCell ref="A64:G64"/>
    <mergeCell ref="A66:G66"/>
    <mergeCell ref="A65:G65"/>
    <mergeCell ref="A59:G59"/>
    <mergeCell ref="A62:G62"/>
    <mergeCell ref="A60:G60"/>
    <mergeCell ref="A61:G61"/>
    <mergeCell ref="A55:G55"/>
    <mergeCell ref="A56:G56"/>
    <mergeCell ref="A57:G57"/>
    <mergeCell ref="A58:G58"/>
    <mergeCell ref="A43:G43"/>
    <mergeCell ref="A53:G53"/>
    <mergeCell ref="I53:O53"/>
    <mergeCell ref="A54:G54"/>
    <mergeCell ref="A45:G45"/>
    <mergeCell ref="A47:G47"/>
    <mergeCell ref="A48:G48"/>
    <mergeCell ref="A49:G49"/>
    <mergeCell ref="A46:G46"/>
    <mergeCell ref="A39:G39"/>
    <mergeCell ref="A40:G40"/>
    <mergeCell ref="A41:G41"/>
    <mergeCell ref="A42:G42"/>
    <mergeCell ref="A38:G38"/>
    <mergeCell ref="IS37:IV37"/>
    <mergeCell ref="HQ37:HW37"/>
    <mergeCell ref="HX37:ID37"/>
    <mergeCell ref="IE37:IK37"/>
    <mergeCell ref="IL37:IR37"/>
    <mergeCell ref="GO37:GU37"/>
    <mergeCell ref="GV37:HB37"/>
    <mergeCell ref="HC37:HI37"/>
    <mergeCell ref="HJ37:HP37"/>
    <mergeCell ref="FM37:FS37"/>
    <mergeCell ref="FT37:FZ37"/>
    <mergeCell ref="GA37:GG37"/>
    <mergeCell ref="GH37:GN37"/>
    <mergeCell ref="EK37:EQ37"/>
    <mergeCell ref="ER37:EX37"/>
    <mergeCell ref="EY37:FE37"/>
    <mergeCell ref="FF37:FL37"/>
    <mergeCell ref="DI37:DO37"/>
    <mergeCell ref="DP37:DV37"/>
    <mergeCell ref="DW37:EC37"/>
    <mergeCell ref="ED37:EJ37"/>
    <mergeCell ref="CG37:CM37"/>
    <mergeCell ref="CN37:CT37"/>
    <mergeCell ref="CU37:DA37"/>
    <mergeCell ref="DB37:DH37"/>
    <mergeCell ref="BE37:BK37"/>
    <mergeCell ref="BL37:BR37"/>
    <mergeCell ref="BS37:BY37"/>
    <mergeCell ref="BZ37:CF37"/>
    <mergeCell ref="AC37:AI37"/>
    <mergeCell ref="AJ37:AP37"/>
    <mergeCell ref="AQ37:AW37"/>
    <mergeCell ref="AX37:BD37"/>
    <mergeCell ref="A37:G37"/>
    <mergeCell ref="H37:N37"/>
    <mergeCell ref="O37:U37"/>
    <mergeCell ref="V37:AB37"/>
    <mergeCell ref="A33:G33"/>
    <mergeCell ref="A34:G34"/>
    <mergeCell ref="A35:G35"/>
    <mergeCell ref="A36:G36"/>
    <mergeCell ref="A29:G29"/>
    <mergeCell ref="A30:G30"/>
    <mergeCell ref="A31:G31"/>
    <mergeCell ref="A32:G32"/>
    <mergeCell ref="A21:G21"/>
    <mergeCell ref="A23:G23"/>
    <mergeCell ref="A27:G27"/>
    <mergeCell ref="A28:G28"/>
    <mergeCell ref="A26:G26"/>
    <mergeCell ref="A15:G15"/>
    <mergeCell ref="A16:G16"/>
    <mergeCell ref="A19:G19"/>
    <mergeCell ref="A20:G20"/>
    <mergeCell ref="A10:G10"/>
    <mergeCell ref="A11:G11"/>
    <mergeCell ref="A12:G12"/>
    <mergeCell ref="A14:G14"/>
    <mergeCell ref="A5:G5"/>
    <mergeCell ref="A6:G6"/>
    <mergeCell ref="A8:G8"/>
    <mergeCell ref="A9:G9"/>
    <mergeCell ref="A3:C3"/>
    <mergeCell ref="E3:G3"/>
    <mergeCell ref="A4:D4"/>
    <mergeCell ref="E4:G4"/>
    <mergeCell ref="A1:C1"/>
    <mergeCell ref="E1:G1"/>
    <mergeCell ref="A2:C2"/>
    <mergeCell ref="E2:G2"/>
    <mergeCell ref="A155:B155"/>
    <mergeCell ref="A206:B206"/>
    <mergeCell ref="A181:G181"/>
    <mergeCell ref="A202:G202"/>
    <mergeCell ref="A192:C192"/>
    <mergeCell ref="A193:C193"/>
    <mergeCell ref="A198:C198"/>
    <mergeCell ref="A204:B205"/>
    <mergeCell ref="G183:G184"/>
    <mergeCell ref="A185:C185"/>
  </mergeCells>
  <printOptions/>
  <pageMargins left="0.88" right="0.26" top="0.33" bottom="0.37" header="0.21" footer="0.17"/>
  <pageSetup horizontalDpi="600" verticalDpi="600" orientation="portrait" r:id="rId1"/>
  <headerFooter alignWithMargins="0">
    <oddFooter>&amp;C&amp;".VnArialH,Regular"&amp;8thuyÕt minh bctc quý i n¨m 2006&amp;R&amp;".VnArial,Regular"&amp;8&amp;P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6"/>
  <sheetViews>
    <sheetView workbookViewId="0" topLeftCell="A166">
      <selection activeCell="G171" sqref="G171"/>
    </sheetView>
  </sheetViews>
  <sheetFormatPr defaultColWidth="8.796875" defaultRowHeight="15"/>
  <cols>
    <col min="1" max="1" width="8" style="45" bestFit="1" customWidth="1"/>
    <col min="2" max="3" width="16.3984375" style="46" bestFit="1" customWidth="1"/>
    <col min="4" max="5" width="17.59765625" style="46" bestFit="1" customWidth="1"/>
    <col min="6" max="7" width="16.3984375" style="46" bestFit="1" customWidth="1"/>
    <col min="8" max="8" width="43.296875" style="45" bestFit="1" customWidth="1"/>
  </cols>
  <sheetData>
    <row r="1" ht="15">
      <c r="A1" s="45" t="s">
        <v>978</v>
      </c>
    </row>
    <row r="2" ht="15">
      <c r="A2" s="45" t="s">
        <v>979</v>
      </c>
    </row>
    <row r="4" spans="1:8" s="49" customFormat="1" ht="15.75">
      <c r="A4" s="47" t="s">
        <v>980</v>
      </c>
      <c r="B4" s="48" t="s">
        <v>981</v>
      </c>
      <c r="C4" s="48" t="s">
        <v>982</v>
      </c>
      <c r="D4" s="48" t="s">
        <v>983</v>
      </c>
      <c r="E4" s="48" t="s">
        <v>984</v>
      </c>
      <c r="F4" s="48" t="s">
        <v>985</v>
      </c>
      <c r="G4" s="48" t="s">
        <v>986</v>
      </c>
      <c r="H4" s="47" t="s">
        <v>987</v>
      </c>
    </row>
    <row r="5" spans="1:8" ht="15">
      <c r="A5" s="45" t="s">
        <v>988</v>
      </c>
      <c r="B5" s="50">
        <v>12712169345</v>
      </c>
      <c r="C5" s="50">
        <v>12712169345</v>
      </c>
      <c r="D5" s="50">
        <v>302535116728</v>
      </c>
      <c r="E5" s="50">
        <v>302535116728</v>
      </c>
      <c r="F5" s="50">
        <v>14787953050</v>
      </c>
      <c r="G5" s="50">
        <v>14787953050</v>
      </c>
      <c r="H5" s="45" t="s">
        <v>989</v>
      </c>
    </row>
    <row r="6" spans="2:7" ht="15">
      <c r="B6" s="50"/>
      <c r="C6" s="50"/>
      <c r="D6" s="50"/>
      <c r="E6" s="50"/>
      <c r="F6" s="50"/>
      <c r="G6" s="50"/>
    </row>
    <row r="7" spans="1:8" ht="15">
      <c r="A7" s="45" t="s">
        <v>990</v>
      </c>
      <c r="B7" s="50">
        <v>164423125</v>
      </c>
      <c r="C7" s="50">
        <v>0</v>
      </c>
      <c r="D7" s="50">
        <v>11712599121</v>
      </c>
      <c r="E7" s="50">
        <v>11715124241</v>
      </c>
      <c r="F7" s="50">
        <v>161898005</v>
      </c>
      <c r="G7" s="50">
        <v>0</v>
      </c>
      <c r="H7" s="45" t="s">
        <v>991</v>
      </c>
    </row>
    <row r="8" spans="1:8" ht="15">
      <c r="A8" s="45" t="s">
        <v>992</v>
      </c>
      <c r="B8" s="50">
        <v>164423125</v>
      </c>
      <c r="C8" s="50">
        <v>0</v>
      </c>
      <c r="D8" s="50">
        <v>11712599121</v>
      </c>
      <c r="E8" s="50">
        <v>11715124241</v>
      </c>
      <c r="F8" s="50">
        <v>161898005</v>
      </c>
      <c r="G8" s="50">
        <v>0</v>
      </c>
      <c r="H8" s="45" t="s">
        <v>993</v>
      </c>
    </row>
    <row r="9" spans="1:8" ht="15">
      <c r="A9" s="45" t="s">
        <v>994</v>
      </c>
      <c r="B9" s="50">
        <v>164423125</v>
      </c>
      <c r="C9" s="50">
        <v>0</v>
      </c>
      <c r="D9" s="50">
        <v>11712599121</v>
      </c>
      <c r="E9" s="50">
        <v>11715124241</v>
      </c>
      <c r="F9" s="50">
        <v>161898005</v>
      </c>
      <c r="G9" s="50">
        <v>0</v>
      </c>
      <c r="H9" s="45" t="s">
        <v>995</v>
      </c>
    </row>
    <row r="10" spans="1:8" ht="15">
      <c r="A10" s="45" t="s">
        <v>996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45" t="s">
        <v>997</v>
      </c>
    </row>
    <row r="11" spans="1:8" ht="15">
      <c r="A11" s="45" t="s">
        <v>998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45" t="s">
        <v>999</v>
      </c>
    </row>
    <row r="12" spans="1:8" ht="15">
      <c r="A12" s="45" t="s">
        <v>1000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45" t="s">
        <v>1001</v>
      </c>
    </row>
    <row r="13" spans="1:8" ht="15">
      <c r="A13" s="45" t="s">
        <v>1002</v>
      </c>
      <c r="B13" s="50">
        <v>811752538</v>
      </c>
      <c r="C13" s="50">
        <v>0</v>
      </c>
      <c r="D13" s="50">
        <v>28396612514</v>
      </c>
      <c r="E13" s="50">
        <v>28237502586</v>
      </c>
      <c r="F13" s="50">
        <v>970862466</v>
      </c>
      <c r="G13" s="50">
        <v>0</v>
      </c>
      <c r="H13" s="45" t="s">
        <v>1003</v>
      </c>
    </row>
    <row r="14" spans="1:8" ht="15">
      <c r="A14" s="45" t="s">
        <v>1004</v>
      </c>
      <c r="B14" s="50">
        <v>639773115</v>
      </c>
      <c r="C14" s="50">
        <v>0</v>
      </c>
      <c r="D14" s="50">
        <v>28395631017</v>
      </c>
      <c r="E14" s="50">
        <v>28064541666</v>
      </c>
      <c r="F14" s="50">
        <v>970862466</v>
      </c>
      <c r="G14" s="50">
        <v>0</v>
      </c>
      <c r="H14" s="45" t="s">
        <v>1005</v>
      </c>
    </row>
    <row r="15" spans="1:8" ht="15">
      <c r="A15" s="45" t="s">
        <v>1006</v>
      </c>
      <c r="B15" s="50">
        <v>639773115</v>
      </c>
      <c r="C15" s="50">
        <v>0</v>
      </c>
      <c r="D15" s="50">
        <v>28395631017</v>
      </c>
      <c r="E15" s="50">
        <v>28064541666</v>
      </c>
      <c r="F15" s="50">
        <v>970862466</v>
      </c>
      <c r="G15" s="50">
        <v>0</v>
      </c>
      <c r="H15" s="45" t="s">
        <v>1007</v>
      </c>
    </row>
    <row r="16" spans="1:8" ht="15">
      <c r="A16" s="45" t="s">
        <v>1008</v>
      </c>
      <c r="B16" s="50">
        <v>179097377</v>
      </c>
      <c r="C16" s="50">
        <v>0</v>
      </c>
      <c r="D16" s="50">
        <v>21243341469</v>
      </c>
      <c r="E16" s="50">
        <v>20708835869</v>
      </c>
      <c r="F16" s="50">
        <v>713602977</v>
      </c>
      <c r="G16" s="50">
        <v>0</v>
      </c>
      <c r="H16" s="45" t="s">
        <v>1009</v>
      </c>
    </row>
    <row r="17" spans="1:8" ht="15">
      <c r="A17" s="45" t="s">
        <v>1010</v>
      </c>
      <c r="B17" s="50">
        <v>140312954</v>
      </c>
      <c r="C17" s="50">
        <v>0</v>
      </c>
      <c r="D17" s="50">
        <v>282072020</v>
      </c>
      <c r="E17" s="50">
        <v>422384974</v>
      </c>
      <c r="F17" s="50">
        <v>0</v>
      </c>
      <c r="G17" s="50">
        <v>0</v>
      </c>
      <c r="H17" s="45" t="s">
        <v>1011</v>
      </c>
    </row>
    <row r="18" spans="1:8" ht="15">
      <c r="A18" s="45" t="s">
        <v>1012</v>
      </c>
      <c r="B18" s="50">
        <v>320362784</v>
      </c>
      <c r="C18" s="50">
        <v>0</v>
      </c>
      <c r="D18" s="50">
        <v>4882847591</v>
      </c>
      <c r="E18" s="50">
        <v>4945950886</v>
      </c>
      <c r="F18" s="50">
        <v>257259489</v>
      </c>
      <c r="G18" s="50">
        <v>0</v>
      </c>
      <c r="H18" s="45" t="s">
        <v>1013</v>
      </c>
    </row>
    <row r="19" spans="1:8" ht="15">
      <c r="A19" s="45" t="s">
        <v>1014</v>
      </c>
      <c r="B19" s="50">
        <v>0</v>
      </c>
      <c r="C19" s="50">
        <v>0</v>
      </c>
      <c r="D19" s="50">
        <v>1987369937</v>
      </c>
      <c r="E19" s="50">
        <v>1987369937</v>
      </c>
      <c r="F19" s="50">
        <v>0</v>
      </c>
      <c r="G19" s="50">
        <v>0</v>
      </c>
      <c r="H19" s="45" t="s">
        <v>1015</v>
      </c>
    </row>
    <row r="20" spans="1:8" ht="15">
      <c r="A20" s="45" t="s">
        <v>1016</v>
      </c>
      <c r="B20" s="50">
        <v>171979423</v>
      </c>
      <c r="C20" s="50">
        <v>0</v>
      </c>
      <c r="D20" s="50">
        <v>981497</v>
      </c>
      <c r="E20" s="50">
        <v>172960920</v>
      </c>
      <c r="F20" s="50">
        <v>0</v>
      </c>
      <c r="G20" s="50">
        <v>0</v>
      </c>
      <c r="H20" s="45" t="s">
        <v>1017</v>
      </c>
    </row>
    <row r="21" spans="1:8" ht="15">
      <c r="A21" s="45" t="s">
        <v>1018</v>
      </c>
      <c r="B21" s="50">
        <v>171979423</v>
      </c>
      <c r="C21" s="50">
        <v>0</v>
      </c>
      <c r="D21" s="50">
        <v>981497</v>
      </c>
      <c r="E21" s="50">
        <v>172960920</v>
      </c>
      <c r="F21" s="50">
        <v>0</v>
      </c>
      <c r="G21" s="50">
        <v>0</v>
      </c>
      <c r="H21" s="45" t="s">
        <v>1019</v>
      </c>
    </row>
    <row r="22" spans="1:8" ht="15">
      <c r="A22" s="45" t="s">
        <v>1020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45" t="s">
        <v>151</v>
      </c>
    </row>
    <row r="23" spans="1:8" ht="15">
      <c r="A23" s="45" t="s">
        <v>152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45" t="s">
        <v>1382</v>
      </c>
    </row>
    <row r="24" spans="1:8" ht="15">
      <c r="A24" s="45" t="s">
        <v>1383</v>
      </c>
      <c r="B24" s="50">
        <v>171979423</v>
      </c>
      <c r="C24" s="50">
        <v>0</v>
      </c>
      <c r="D24" s="50">
        <v>981497</v>
      </c>
      <c r="E24" s="50">
        <v>172960920</v>
      </c>
      <c r="F24" s="50">
        <v>0</v>
      </c>
      <c r="G24" s="50">
        <v>0</v>
      </c>
      <c r="H24" s="45" t="s">
        <v>1384</v>
      </c>
    </row>
    <row r="25" spans="1:8" ht="15">
      <c r="A25" s="45" t="s">
        <v>1385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45" t="s">
        <v>1386</v>
      </c>
    </row>
    <row r="26" spans="1:8" ht="15">
      <c r="A26" s="45" t="s">
        <v>1387</v>
      </c>
      <c r="B26" s="50">
        <v>0</v>
      </c>
      <c r="C26" s="50">
        <v>0</v>
      </c>
      <c r="D26" s="50">
        <v>157093308</v>
      </c>
      <c r="E26" s="50">
        <v>157093308</v>
      </c>
      <c r="F26" s="50">
        <v>0</v>
      </c>
      <c r="G26" s="50">
        <v>0</v>
      </c>
      <c r="H26" s="45" t="s">
        <v>1388</v>
      </c>
    </row>
    <row r="27" spans="1:8" ht="15">
      <c r="A27" s="45" t="s">
        <v>1389</v>
      </c>
      <c r="B27" s="50">
        <v>0</v>
      </c>
      <c r="C27" s="50">
        <v>0</v>
      </c>
      <c r="D27" s="50">
        <v>157093308</v>
      </c>
      <c r="E27" s="50">
        <v>157093308</v>
      </c>
      <c r="F27" s="50">
        <v>0</v>
      </c>
      <c r="G27" s="50">
        <v>0</v>
      </c>
      <c r="H27" s="45" t="s">
        <v>1390</v>
      </c>
    </row>
    <row r="28" spans="1:8" ht="15">
      <c r="A28" s="45" t="s">
        <v>1391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45" t="s">
        <v>1392</v>
      </c>
    </row>
    <row r="29" spans="1:8" ht="15">
      <c r="A29" s="45" t="s">
        <v>1393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45" t="s">
        <v>165</v>
      </c>
    </row>
    <row r="30" spans="1:8" ht="15">
      <c r="A30" s="45" t="s">
        <v>166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45" t="s">
        <v>167</v>
      </c>
    </row>
    <row r="31" spans="1:8" ht="15">
      <c r="A31" s="45" t="s">
        <v>168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45" t="s">
        <v>169</v>
      </c>
    </row>
    <row r="32" spans="1:8" ht="15">
      <c r="A32" s="45" t="s">
        <v>170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45" t="s">
        <v>171</v>
      </c>
    </row>
    <row r="33" spans="1:8" ht="15">
      <c r="A33" s="45" t="s">
        <v>172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45" t="s">
        <v>173</v>
      </c>
    </row>
    <row r="34" spans="1:8" ht="15">
      <c r="A34" s="45" t="s">
        <v>174</v>
      </c>
      <c r="B34" s="50">
        <v>6051422898</v>
      </c>
      <c r="C34" s="50">
        <v>55088042</v>
      </c>
      <c r="D34" s="50">
        <v>43725329614</v>
      </c>
      <c r="E34" s="50">
        <v>42631020041</v>
      </c>
      <c r="F34" s="50">
        <v>7257145944</v>
      </c>
      <c r="G34" s="50">
        <v>166501515</v>
      </c>
      <c r="H34" s="45" t="s">
        <v>175</v>
      </c>
    </row>
    <row r="35" spans="1:8" ht="15">
      <c r="A35" s="45" t="s">
        <v>176</v>
      </c>
      <c r="B35" s="50">
        <v>6051422898</v>
      </c>
      <c r="C35" s="50">
        <v>55088042</v>
      </c>
      <c r="D35" s="50">
        <v>43725329614</v>
      </c>
      <c r="E35" s="50">
        <v>42631020041</v>
      </c>
      <c r="F35" s="50">
        <v>7257145944</v>
      </c>
      <c r="G35" s="50">
        <v>166501515</v>
      </c>
      <c r="H35" s="45" t="s">
        <v>177</v>
      </c>
    </row>
    <row r="36" spans="1:8" ht="15">
      <c r="A36" s="45" t="s">
        <v>178</v>
      </c>
      <c r="B36" s="50">
        <v>0</v>
      </c>
      <c r="C36" s="50">
        <v>0</v>
      </c>
      <c r="D36" s="50">
        <v>1903441949</v>
      </c>
      <c r="E36" s="50">
        <v>1903441949</v>
      </c>
      <c r="F36" s="50">
        <v>0</v>
      </c>
      <c r="G36" s="50">
        <v>0</v>
      </c>
      <c r="H36" s="45" t="s">
        <v>179</v>
      </c>
    </row>
    <row r="37" spans="1:8" ht="15">
      <c r="A37" s="45" t="s">
        <v>180</v>
      </c>
      <c r="B37" s="50">
        <v>0</v>
      </c>
      <c r="C37" s="50">
        <v>0</v>
      </c>
      <c r="D37" s="50">
        <v>1903441949</v>
      </c>
      <c r="E37" s="50">
        <v>1903441949</v>
      </c>
      <c r="F37" s="50">
        <v>0</v>
      </c>
      <c r="G37" s="50">
        <v>0</v>
      </c>
      <c r="H37" s="45" t="s">
        <v>181</v>
      </c>
    </row>
    <row r="38" spans="1:8" ht="15">
      <c r="A38" s="45" t="s">
        <v>182</v>
      </c>
      <c r="B38" s="50">
        <v>0</v>
      </c>
      <c r="C38" s="50">
        <v>0</v>
      </c>
      <c r="D38" s="50">
        <v>1903441949</v>
      </c>
      <c r="E38" s="50">
        <v>1903441949</v>
      </c>
      <c r="F38" s="50">
        <v>0</v>
      </c>
      <c r="G38" s="50">
        <v>0</v>
      </c>
      <c r="H38" s="45" t="s">
        <v>181</v>
      </c>
    </row>
    <row r="39" spans="1:8" ht="15">
      <c r="A39" s="45" t="s">
        <v>183</v>
      </c>
      <c r="B39" s="50">
        <v>0</v>
      </c>
      <c r="C39" s="50">
        <v>0</v>
      </c>
      <c r="D39" s="50">
        <v>1903441949</v>
      </c>
      <c r="E39" s="50">
        <v>1903441949</v>
      </c>
      <c r="F39" s="50">
        <v>0</v>
      </c>
      <c r="G39" s="50">
        <v>0</v>
      </c>
      <c r="H39" s="45" t="s">
        <v>184</v>
      </c>
    </row>
    <row r="40" spans="1:8" ht="15">
      <c r="A40" s="45" t="s">
        <v>185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45" t="s">
        <v>186</v>
      </c>
    </row>
    <row r="41" spans="1:8" ht="15">
      <c r="A41" s="45" t="s">
        <v>187</v>
      </c>
      <c r="B41" s="50">
        <v>0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45" t="s">
        <v>188</v>
      </c>
    </row>
    <row r="42" spans="1:8" ht="15">
      <c r="A42" s="45" t="s">
        <v>189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45" t="s">
        <v>190</v>
      </c>
    </row>
    <row r="43" spans="1:8" ht="15">
      <c r="A43" s="45" t="s">
        <v>191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45" t="s">
        <v>192</v>
      </c>
    </row>
    <row r="44" spans="1:8" ht="15">
      <c r="A44" s="45" t="s">
        <v>193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45" t="s">
        <v>194</v>
      </c>
    </row>
    <row r="45" spans="1:8" ht="15">
      <c r="A45" s="45" t="s">
        <v>195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45" t="s">
        <v>196</v>
      </c>
    </row>
    <row r="46" spans="1:8" ht="15">
      <c r="A46" s="45" t="s">
        <v>197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45" t="s">
        <v>198</v>
      </c>
    </row>
    <row r="47" spans="1:8" ht="15">
      <c r="A47" s="45" t="s">
        <v>199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45" t="s">
        <v>200</v>
      </c>
    </row>
    <row r="48" spans="1:8" ht="15">
      <c r="A48" s="45" t="s">
        <v>201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45" t="s">
        <v>202</v>
      </c>
    </row>
    <row r="49" spans="1:8" ht="15">
      <c r="A49" s="45" t="s">
        <v>203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45" t="s">
        <v>204</v>
      </c>
    </row>
    <row r="50" spans="1:8" ht="15">
      <c r="A50" s="45" t="s">
        <v>205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45" t="s">
        <v>206</v>
      </c>
    </row>
    <row r="51" spans="1:8" ht="15">
      <c r="A51" s="45" t="s">
        <v>207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45" t="s">
        <v>208</v>
      </c>
    </row>
    <row r="52" spans="1:8" ht="15">
      <c r="A52" s="45" t="s">
        <v>209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45" t="s">
        <v>210</v>
      </c>
    </row>
    <row r="53" spans="1:8" ht="15">
      <c r="A53" s="45" t="s">
        <v>211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45" t="s">
        <v>212</v>
      </c>
    </row>
    <row r="54" spans="1:8" ht="15">
      <c r="A54" s="45" t="s">
        <v>213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45" t="s">
        <v>214</v>
      </c>
    </row>
    <row r="55" spans="1:8" ht="15">
      <c r="A55" s="45" t="s">
        <v>215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45" t="s">
        <v>216</v>
      </c>
    </row>
    <row r="56" spans="1:8" ht="15">
      <c r="A56" s="45" t="s">
        <v>217</v>
      </c>
      <c r="B56" s="50">
        <v>233158000</v>
      </c>
      <c r="C56" s="50">
        <v>0</v>
      </c>
      <c r="D56" s="50">
        <v>3016125940</v>
      </c>
      <c r="E56" s="50">
        <v>3206055911</v>
      </c>
      <c r="F56" s="50">
        <v>43228029</v>
      </c>
      <c r="G56" s="50">
        <v>0</v>
      </c>
      <c r="H56" s="45" t="s">
        <v>218</v>
      </c>
    </row>
    <row r="57" spans="1:8" ht="15">
      <c r="A57" s="45" t="s">
        <v>219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45" t="s">
        <v>220</v>
      </c>
    </row>
    <row r="58" spans="1:8" ht="15">
      <c r="A58" s="45" t="s">
        <v>221</v>
      </c>
      <c r="B58" s="50">
        <v>233158000</v>
      </c>
      <c r="C58" s="50">
        <v>0</v>
      </c>
      <c r="D58" s="50">
        <v>3016125940</v>
      </c>
      <c r="E58" s="50">
        <v>3206055911</v>
      </c>
      <c r="F58" s="50">
        <v>43228029</v>
      </c>
      <c r="G58" s="50">
        <v>0</v>
      </c>
      <c r="H58" s="45" t="s">
        <v>218</v>
      </c>
    </row>
    <row r="59" spans="1:8" ht="15">
      <c r="A59" s="45" t="s">
        <v>222</v>
      </c>
      <c r="B59" s="50">
        <v>233158000</v>
      </c>
      <c r="C59" s="50">
        <v>0</v>
      </c>
      <c r="D59" s="50">
        <v>3016125940</v>
      </c>
      <c r="E59" s="50">
        <v>3206055911</v>
      </c>
      <c r="F59" s="50">
        <v>43228029</v>
      </c>
      <c r="G59" s="50">
        <v>0</v>
      </c>
      <c r="H59" s="45" t="s">
        <v>224</v>
      </c>
    </row>
    <row r="60" spans="1:8" ht="15">
      <c r="A60" s="45" t="s">
        <v>225</v>
      </c>
      <c r="B60" s="50">
        <v>0</v>
      </c>
      <c r="C60" s="50">
        <v>0</v>
      </c>
      <c r="D60" s="50">
        <v>2969626911</v>
      </c>
      <c r="E60" s="50">
        <v>2969626911</v>
      </c>
      <c r="F60" s="50">
        <v>0</v>
      </c>
      <c r="G60" s="50">
        <v>0</v>
      </c>
      <c r="H60" s="45" t="s">
        <v>226</v>
      </c>
    </row>
    <row r="61" spans="1:8" ht="15">
      <c r="A61" s="45" t="s">
        <v>227</v>
      </c>
      <c r="B61" s="50">
        <v>233158000</v>
      </c>
      <c r="C61" s="50">
        <v>0</v>
      </c>
      <c r="D61" s="50">
        <v>46499029</v>
      </c>
      <c r="E61" s="50">
        <v>236429000</v>
      </c>
      <c r="F61" s="50">
        <v>43228029</v>
      </c>
      <c r="G61" s="50">
        <v>0</v>
      </c>
      <c r="H61" s="45" t="s">
        <v>218</v>
      </c>
    </row>
    <row r="62" spans="1:8" ht="15">
      <c r="A62" s="45" t="s">
        <v>228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45" t="s">
        <v>229</v>
      </c>
    </row>
    <row r="63" spans="1:8" ht="15">
      <c r="A63" s="45" t="s">
        <v>230</v>
      </c>
      <c r="B63" s="50">
        <v>0</v>
      </c>
      <c r="C63" s="50">
        <v>400000000</v>
      </c>
      <c r="D63" s="50">
        <v>0</v>
      </c>
      <c r="E63" s="50">
        <v>261209000</v>
      </c>
      <c r="F63" s="50">
        <v>0</v>
      </c>
      <c r="G63" s="50">
        <v>661209000</v>
      </c>
      <c r="H63" s="45" t="s">
        <v>231</v>
      </c>
    </row>
    <row r="64" spans="1:8" ht="15">
      <c r="A64" s="45" t="s">
        <v>232</v>
      </c>
      <c r="B64" s="50">
        <v>118113095</v>
      </c>
      <c r="C64" s="50">
        <v>0</v>
      </c>
      <c r="D64" s="50">
        <v>1873038839</v>
      </c>
      <c r="E64" s="50">
        <v>1943476052</v>
      </c>
      <c r="F64" s="50">
        <v>47675882</v>
      </c>
      <c r="G64" s="50">
        <v>0</v>
      </c>
      <c r="H64" s="45" t="s">
        <v>233</v>
      </c>
    </row>
    <row r="65" spans="1:8" ht="15">
      <c r="A65" s="45" t="s">
        <v>234</v>
      </c>
      <c r="B65" s="50">
        <v>118113095</v>
      </c>
      <c r="C65" s="50">
        <v>0</v>
      </c>
      <c r="D65" s="50">
        <v>1873038839</v>
      </c>
      <c r="E65" s="50">
        <v>1943476052</v>
      </c>
      <c r="F65" s="50">
        <v>47675882</v>
      </c>
      <c r="G65" s="50">
        <v>0</v>
      </c>
      <c r="H65" s="45" t="s">
        <v>235</v>
      </c>
    </row>
    <row r="66" spans="1:8" ht="15">
      <c r="A66" s="45" t="s">
        <v>236</v>
      </c>
      <c r="B66" s="50">
        <v>0</v>
      </c>
      <c r="C66" s="50">
        <v>0</v>
      </c>
      <c r="D66" s="50">
        <v>175740984</v>
      </c>
      <c r="E66" s="50">
        <v>174979079</v>
      </c>
      <c r="F66" s="50">
        <v>761905</v>
      </c>
      <c r="G66" s="50">
        <v>0</v>
      </c>
      <c r="H66" s="45" t="s">
        <v>237</v>
      </c>
    </row>
    <row r="67" spans="1:8" ht="15">
      <c r="A67" s="45" t="s">
        <v>238</v>
      </c>
      <c r="B67" s="50">
        <v>0</v>
      </c>
      <c r="C67" s="50">
        <v>0</v>
      </c>
      <c r="D67" s="50">
        <v>67312173</v>
      </c>
      <c r="E67" s="50">
        <v>66550268</v>
      </c>
      <c r="F67" s="50">
        <v>761905</v>
      </c>
      <c r="G67" s="50">
        <v>0</v>
      </c>
      <c r="H67" s="45" t="s">
        <v>239</v>
      </c>
    </row>
    <row r="68" spans="1:8" ht="15">
      <c r="A68" s="45" t="s">
        <v>240</v>
      </c>
      <c r="B68" s="50">
        <v>0</v>
      </c>
      <c r="C68" s="50">
        <v>0</v>
      </c>
      <c r="D68" s="50">
        <v>67312173</v>
      </c>
      <c r="E68" s="50">
        <v>66550268</v>
      </c>
      <c r="F68" s="50">
        <v>761905</v>
      </c>
      <c r="G68" s="50">
        <v>0</v>
      </c>
      <c r="H68" s="45" t="s">
        <v>241</v>
      </c>
    </row>
    <row r="69" spans="1:8" ht="15">
      <c r="A69" s="45" t="s">
        <v>242</v>
      </c>
      <c r="B69" s="50">
        <v>0</v>
      </c>
      <c r="C69" s="50">
        <v>0</v>
      </c>
      <c r="D69" s="50">
        <v>108428811</v>
      </c>
      <c r="E69" s="50">
        <v>108428811</v>
      </c>
      <c r="F69" s="50">
        <v>0</v>
      </c>
      <c r="G69" s="50">
        <v>0</v>
      </c>
      <c r="H69" s="45" t="s">
        <v>243</v>
      </c>
    </row>
    <row r="70" spans="1:8" ht="15">
      <c r="A70" s="45" t="s">
        <v>244</v>
      </c>
      <c r="B70" s="50">
        <v>0</v>
      </c>
      <c r="C70" s="50">
        <v>0</v>
      </c>
      <c r="D70" s="50">
        <v>108428811</v>
      </c>
      <c r="E70" s="50">
        <v>108428811</v>
      </c>
      <c r="F70" s="50">
        <v>0</v>
      </c>
      <c r="G70" s="50">
        <v>0</v>
      </c>
      <c r="H70" s="45" t="s">
        <v>245</v>
      </c>
    </row>
    <row r="71" spans="1:8" ht="15">
      <c r="A71" s="45" t="s">
        <v>246</v>
      </c>
      <c r="B71" s="50">
        <v>0</v>
      </c>
      <c r="C71" s="50">
        <v>0</v>
      </c>
      <c r="D71" s="50">
        <v>30000000</v>
      </c>
      <c r="E71" s="50">
        <v>0</v>
      </c>
      <c r="F71" s="50">
        <v>30000000</v>
      </c>
      <c r="G71" s="50">
        <v>0</v>
      </c>
      <c r="H71" s="45" t="s">
        <v>247</v>
      </c>
    </row>
    <row r="72" spans="1:8" ht="15">
      <c r="A72" s="45" t="s">
        <v>248</v>
      </c>
      <c r="B72" s="50">
        <v>0</v>
      </c>
      <c r="C72" s="50">
        <v>0</v>
      </c>
      <c r="D72" s="50">
        <v>30000000</v>
      </c>
      <c r="E72" s="50">
        <v>0</v>
      </c>
      <c r="F72" s="50">
        <v>30000000</v>
      </c>
      <c r="G72" s="50">
        <v>0</v>
      </c>
      <c r="H72" s="45" t="s">
        <v>249</v>
      </c>
    </row>
    <row r="73" spans="1:8" ht="15">
      <c r="A73" s="45" t="s">
        <v>250</v>
      </c>
      <c r="B73" s="50">
        <v>0</v>
      </c>
      <c r="C73" s="50">
        <v>0</v>
      </c>
      <c r="D73" s="50">
        <v>5723601705</v>
      </c>
      <c r="E73" s="50">
        <v>5018859842</v>
      </c>
      <c r="F73" s="50">
        <v>704741863</v>
      </c>
      <c r="G73" s="50">
        <v>0</v>
      </c>
      <c r="H73" s="45" t="s">
        <v>251</v>
      </c>
    </row>
    <row r="74" spans="1:8" ht="15">
      <c r="A74" s="45" t="s">
        <v>252</v>
      </c>
      <c r="B74" s="50">
        <v>0</v>
      </c>
      <c r="C74" s="50">
        <v>0</v>
      </c>
      <c r="D74" s="50">
        <v>5723601705</v>
      </c>
      <c r="E74" s="50">
        <v>5018859842</v>
      </c>
      <c r="F74" s="50">
        <v>704741863</v>
      </c>
      <c r="G74" s="50">
        <v>0</v>
      </c>
      <c r="H74" s="45" t="s">
        <v>253</v>
      </c>
    </row>
    <row r="75" spans="1:8" ht="15">
      <c r="A75" s="45" t="s">
        <v>254</v>
      </c>
      <c r="B75" s="50">
        <v>0</v>
      </c>
      <c r="C75" s="50">
        <v>0</v>
      </c>
      <c r="D75" s="50">
        <v>991361575</v>
      </c>
      <c r="E75" s="50">
        <v>991361575</v>
      </c>
      <c r="F75" s="50">
        <v>0</v>
      </c>
      <c r="G75" s="50">
        <v>0</v>
      </c>
      <c r="H75" s="45" t="s">
        <v>255</v>
      </c>
    </row>
    <row r="76" spans="1:8" ht="15">
      <c r="A76" s="45" t="s">
        <v>256</v>
      </c>
      <c r="B76" s="50">
        <v>0</v>
      </c>
      <c r="C76" s="50">
        <v>0</v>
      </c>
      <c r="D76" s="50">
        <v>4732240130</v>
      </c>
      <c r="E76" s="50">
        <v>4027498267</v>
      </c>
      <c r="F76" s="50">
        <v>704741863</v>
      </c>
      <c r="G76" s="50">
        <v>0</v>
      </c>
      <c r="H76" s="45" t="s">
        <v>257</v>
      </c>
    </row>
    <row r="77" spans="1:8" ht="15">
      <c r="A77" s="45" t="s">
        <v>258</v>
      </c>
      <c r="B77" s="50">
        <v>6217300</v>
      </c>
      <c r="C77" s="50">
        <v>0</v>
      </c>
      <c r="D77" s="50">
        <v>591508018</v>
      </c>
      <c r="E77" s="50">
        <v>590399687</v>
      </c>
      <c r="F77" s="50">
        <v>7325631</v>
      </c>
      <c r="G77" s="50">
        <v>0</v>
      </c>
      <c r="H77" s="45" t="s">
        <v>259</v>
      </c>
    </row>
    <row r="78" spans="1:8" ht="15">
      <c r="A78" s="45" t="s">
        <v>260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45" t="s">
        <v>261</v>
      </c>
    </row>
    <row r="79" spans="1:8" ht="15">
      <c r="A79" s="45" t="s">
        <v>262</v>
      </c>
      <c r="B79" s="50">
        <v>0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45" t="s">
        <v>263</v>
      </c>
    </row>
    <row r="80" spans="1:8" ht="15">
      <c r="A80" s="45" t="s">
        <v>264</v>
      </c>
      <c r="B80" s="50">
        <v>292825</v>
      </c>
      <c r="C80" s="50">
        <v>0</v>
      </c>
      <c r="D80" s="50">
        <v>588748018</v>
      </c>
      <c r="E80" s="50">
        <v>581715212</v>
      </c>
      <c r="F80" s="50">
        <v>7325631</v>
      </c>
      <c r="G80" s="50">
        <v>0</v>
      </c>
      <c r="H80" s="45" t="s">
        <v>265</v>
      </c>
    </row>
    <row r="81" spans="1:8" ht="15">
      <c r="A81" s="45" t="s">
        <v>266</v>
      </c>
      <c r="B81" s="50">
        <v>292825</v>
      </c>
      <c r="C81" s="50">
        <v>0</v>
      </c>
      <c r="D81" s="50">
        <v>588748018</v>
      </c>
      <c r="E81" s="50">
        <v>581715212</v>
      </c>
      <c r="F81" s="50">
        <v>7325631</v>
      </c>
      <c r="G81" s="50">
        <v>0</v>
      </c>
      <c r="H81" s="45" t="s">
        <v>267</v>
      </c>
    </row>
    <row r="82" spans="1:8" ht="15">
      <c r="A82" s="45" t="s">
        <v>268</v>
      </c>
      <c r="B82" s="50">
        <v>5924475</v>
      </c>
      <c r="C82" s="50">
        <v>0</v>
      </c>
      <c r="D82" s="50">
        <v>2760000</v>
      </c>
      <c r="E82" s="50">
        <v>8684475</v>
      </c>
      <c r="F82" s="50">
        <v>0</v>
      </c>
      <c r="G82" s="50">
        <v>0</v>
      </c>
      <c r="H82" s="45" t="s">
        <v>269</v>
      </c>
    </row>
    <row r="83" spans="1:8" ht="15">
      <c r="A83" s="45" t="s">
        <v>270</v>
      </c>
      <c r="B83" s="50">
        <v>5924475</v>
      </c>
      <c r="C83" s="50">
        <v>0</v>
      </c>
      <c r="D83" s="50">
        <v>2760000</v>
      </c>
      <c r="E83" s="50">
        <v>8684475</v>
      </c>
      <c r="F83" s="50">
        <v>0</v>
      </c>
      <c r="G83" s="50">
        <v>0</v>
      </c>
      <c r="H83" s="45" t="s">
        <v>271</v>
      </c>
    </row>
    <row r="84" spans="1:8" ht="15">
      <c r="A84" s="45" t="s">
        <v>272</v>
      </c>
      <c r="B84" s="50">
        <v>27981292</v>
      </c>
      <c r="C84" s="50">
        <v>0</v>
      </c>
      <c r="D84" s="50">
        <v>259047967</v>
      </c>
      <c r="E84" s="50">
        <v>252514034</v>
      </c>
      <c r="F84" s="50">
        <v>34515225</v>
      </c>
      <c r="G84" s="50">
        <v>0</v>
      </c>
      <c r="H84" s="45" t="s">
        <v>273</v>
      </c>
    </row>
    <row r="85" spans="1:8" ht="15">
      <c r="A85" s="45" t="s">
        <v>274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45" t="s">
        <v>273</v>
      </c>
    </row>
    <row r="86" spans="1:8" ht="15">
      <c r="A86" s="45" t="s">
        <v>275</v>
      </c>
      <c r="B86" s="50">
        <v>27981292</v>
      </c>
      <c r="C86" s="50">
        <v>0</v>
      </c>
      <c r="D86" s="50">
        <v>259047967</v>
      </c>
      <c r="E86" s="50">
        <v>252514034</v>
      </c>
      <c r="F86" s="50">
        <v>34515225</v>
      </c>
      <c r="G86" s="50">
        <v>0</v>
      </c>
      <c r="H86" s="45" t="s">
        <v>276</v>
      </c>
    </row>
    <row r="87" spans="1:8" ht="15">
      <c r="A87" s="45" t="s">
        <v>277</v>
      </c>
      <c r="B87" s="50">
        <v>27981292</v>
      </c>
      <c r="C87" s="50">
        <v>0</v>
      </c>
      <c r="D87" s="50">
        <v>259047967</v>
      </c>
      <c r="E87" s="50">
        <v>252514034</v>
      </c>
      <c r="F87" s="50">
        <v>34515225</v>
      </c>
      <c r="G87" s="50">
        <v>0</v>
      </c>
      <c r="H87" s="45" t="s">
        <v>278</v>
      </c>
    </row>
    <row r="88" spans="1:8" ht="15">
      <c r="A88" s="45" t="s">
        <v>279</v>
      </c>
      <c r="B88" s="50">
        <v>27981292</v>
      </c>
      <c r="C88" s="50">
        <v>0</v>
      </c>
      <c r="D88" s="50">
        <v>228377967</v>
      </c>
      <c r="E88" s="50">
        <v>224308034</v>
      </c>
      <c r="F88" s="50">
        <v>32051225</v>
      </c>
      <c r="G88" s="50">
        <v>0</v>
      </c>
      <c r="H88" s="45" t="s">
        <v>285</v>
      </c>
    </row>
    <row r="89" spans="1:8" ht="15">
      <c r="A89" s="45" t="s">
        <v>286</v>
      </c>
      <c r="B89" s="50">
        <v>0</v>
      </c>
      <c r="C89" s="50">
        <v>0</v>
      </c>
      <c r="D89" s="50">
        <v>6400000</v>
      </c>
      <c r="E89" s="50">
        <v>3936000</v>
      </c>
      <c r="F89" s="50">
        <v>2464000</v>
      </c>
      <c r="G89" s="50">
        <v>0</v>
      </c>
      <c r="H89" s="45" t="s">
        <v>287</v>
      </c>
    </row>
    <row r="90" spans="1:8" ht="15">
      <c r="A90" s="45" t="s">
        <v>288</v>
      </c>
      <c r="B90" s="50">
        <v>0</v>
      </c>
      <c r="C90" s="50">
        <v>0</v>
      </c>
      <c r="D90" s="50">
        <v>24270000</v>
      </c>
      <c r="E90" s="50">
        <v>24270000</v>
      </c>
      <c r="F90" s="50">
        <v>0</v>
      </c>
      <c r="G90" s="50">
        <v>0</v>
      </c>
      <c r="H90" s="45" t="s">
        <v>289</v>
      </c>
    </row>
    <row r="91" spans="1:8" ht="15">
      <c r="A91" s="45" t="s">
        <v>290</v>
      </c>
      <c r="B91" s="50">
        <v>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45" t="s">
        <v>291</v>
      </c>
    </row>
    <row r="92" spans="1:8" ht="15">
      <c r="A92" s="45" t="s">
        <v>292</v>
      </c>
      <c r="B92" s="50">
        <v>448057742</v>
      </c>
      <c r="C92" s="50">
        <v>0</v>
      </c>
      <c r="D92" s="50">
        <v>5723004645</v>
      </c>
      <c r="E92" s="50">
        <v>6021826549</v>
      </c>
      <c r="F92" s="50">
        <v>149235838</v>
      </c>
      <c r="G92" s="50">
        <v>0</v>
      </c>
      <c r="H92" s="45" t="s">
        <v>293</v>
      </c>
    </row>
    <row r="93" spans="1:8" ht="15">
      <c r="A93" s="45" t="s">
        <v>294</v>
      </c>
      <c r="B93" s="50">
        <v>448057742</v>
      </c>
      <c r="C93" s="50">
        <v>0</v>
      </c>
      <c r="D93" s="50">
        <v>5723004645</v>
      </c>
      <c r="E93" s="50">
        <v>6021826549</v>
      </c>
      <c r="F93" s="50">
        <v>149235838</v>
      </c>
      <c r="G93" s="50">
        <v>0</v>
      </c>
      <c r="H93" s="45" t="s">
        <v>295</v>
      </c>
    </row>
    <row r="94" spans="1:8" ht="15">
      <c r="A94" s="45" t="s">
        <v>296</v>
      </c>
      <c r="B94" s="50">
        <v>0</v>
      </c>
      <c r="C94" s="50">
        <v>0</v>
      </c>
      <c r="D94" s="50">
        <v>2841841835</v>
      </c>
      <c r="E94" s="50">
        <v>2841841835</v>
      </c>
      <c r="F94" s="50">
        <v>0</v>
      </c>
      <c r="G94" s="50">
        <v>0</v>
      </c>
      <c r="H94" s="45" t="s">
        <v>297</v>
      </c>
    </row>
    <row r="95" spans="1:8" ht="15">
      <c r="A95" s="45" t="s">
        <v>298</v>
      </c>
      <c r="B95" s="50">
        <v>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45" t="s">
        <v>299</v>
      </c>
    </row>
    <row r="96" spans="1:8" ht="15">
      <c r="A96" s="45" t="s">
        <v>300</v>
      </c>
      <c r="B96" s="50">
        <v>448057742</v>
      </c>
      <c r="C96" s="50">
        <v>0</v>
      </c>
      <c r="D96" s="50">
        <v>2881162810</v>
      </c>
      <c r="E96" s="50">
        <v>3179984714</v>
      </c>
      <c r="F96" s="50">
        <v>149235838</v>
      </c>
      <c r="G96" s="50">
        <v>0</v>
      </c>
      <c r="H96" s="45" t="s">
        <v>301</v>
      </c>
    </row>
    <row r="97" spans="1:8" ht="15">
      <c r="A97" s="45" t="s">
        <v>302</v>
      </c>
      <c r="B97" s="50">
        <v>0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45" t="s">
        <v>303</v>
      </c>
    </row>
    <row r="98" spans="1:8" ht="15">
      <c r="A98" s="45" t="s">
        <v>304</v>
      </c>
      <c r="B98" s="50">
        <v>1703385548</v>
      </c>
      <c r="C98" s="50">
        <v>0</v>
      </c>
      <c r="D98" s="50">
        <v>22121491717</v>
      </c>
      <c r="E98" s="50">
        <v>23144229104</v>
      </c>
      <c r="F98" s="50">
        <v>680648161</v>
      </c>
      <c r="G98" s="50">
        <v>0</v>
      </c>
      <c r="H98" s="45" t="s">
        <v>305</v>
      </c>
    </row>
    <row r="99" spans="1:8" ht="15">
      <c r="A99" s="45" t="s">
        <v>26</v>
      </c>
      <c r="B99" s="50">
        <v>1703385548</v>
      </c>
      <c r="C99" s="50">
        <v>0</v>
      </c>
      <c r="D99" s="50">
        <v>22121491717</v>
      </c>
      <c r="E99" s="50">
        <v>23144229104</v>
      </c>
      <c r="F99" s="50">
        <v>680648161</v>
      </c>
      <c r="G99" s="50">
        <v>0</v>
      </c>
      <c r="H99" s="45" t="s">
        <v>27</v>
      </c>
    </row>
    <row r="100" spans="1:8" ht="15">
      <c r="A100" s="45" t="s">
        <v>28</v>
      </c>
      <c r="B100" s="50">
        <v>1703385548</v>
      </c>
      <c r="C100" s="50">
        <v>0</v>
      </c>
      <c r="D100" s="50">
        <v>22121491717</v>
      </c>
      <c r="E100" s="50">
        <v>23144229104</v>
      </c>
      <c r="F100" s="50">
        <v>680648161</v>
      </c>
      <c r="G100" s="50">
        <v>0</v>
      </c>
      <c r="H100" s="45" t="s">
        <v>29</v>
      </c>
    </row>
    <row r="101" spans="1:8" ht="15">
      <c r="A101" s="45" t="s">
        <v>31</v>
      </c>
      <c r="B101" s="50">
        <v>195974138</v>
      </c>
      <c r="C101" s="50">
        <v>0</v>
      </c>
      <c r="D101" s="50">
        <v>8774290222</v>
      </c>
      <c r="E101" s="50">
        <v>8738917990</v>
      </c>
      <c r="F101" s="50">
        <v>231346370</v>
      </c>
      <c r="G101" s="50">
        <v>0</v>
      </c>
      <c r="H101" s="45" t="s">
        <v>32</v>
      </c>
    </row>
    <row r="102" spans="1:8" ht="15">
      <c r="A102" s="45" t="s">
        <v>33</v>
      </c>
      <c r="B102" s="50">
        <v>0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45" t="s">
        <v>34</v>
      </c>
    </row>
    <row r="103" spans="1:8" ht="15">
      <c r="A103" s="45" t="s">
        <v>35</v>
      </c>
      <c r="B103" s="50">
        <v>0</v>
      </c>
      <c r="C103" s="50">
        <v>0</v>
      </c>
      <c r="D103" s="50">
        <v>840000</v>
      </c>
      <c r="E103" s="50">
        <v>840000</v>
      </c>
      <c r="F103" s="50">
        <v>0</v>
      </c>
      <c r="G103" s="50">
        <v>0</v>
      </c>
      <c r="H103" s="45" t="s">
        <v>36</v>
      </c>
    </row>
    <row r="104" spans="1:8" ht="15">
      <c r="A104" s="45" t="s">
        <v>37</v>
      </c>
      <c r="B104" s="50">
        <v>1487363762</v>
      </c>
      <c r="C104" s="50">
        <v>0</v>
      </c>
      <c r="D104" s="50">
        <v>13343052146</v>
      </c>
      <c r="E104" s="50">
        <v>14401161765</v>
      </c>
      <c r="F104" s="50">
        <v>429254143</v>
      </c>
      <c r="G104" s="50">
        <v>0</v>
      </c>
      <c r="H104" s="45" t="s">
        <v>38</v>
      </c>
    </row>
    <row r="105" spans="1:8" ht="15">
      <c r="A105" s="45" t="s">
        <v>39</v>
      </c>
      <c r="B105" s="50">
        <v>20047648</v>
      </c>
      <c r="C105" s="50">
        <v>0</v>
      </c>
      <c r="D105" s="50">
        <v>3309349</v>
      </c>
      <c r="E105" s="50">
        <v>3309349</v>
      </c>
      <c r="F105" s="50">
        <v>20047648</v>
      </c>
      <c r="G105" s="50">
        <v>0</v>
      </c>
      <c r="H105" s="45" t="s">
        <v>40</v>
      </c>
    </row>
    <row r="106" spans="1:8" ht="15">
      <c r="A106" s="45" t="s">
        <v>41</v>
      </c>
      <c r="B106" s="50">
        <v>0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45" t="s">
        <v>42</v>
      </c>
    </row>
    <row r="107" spans="1:8" ht="15">
      <c r="A107" s="45" t="s">
        <v>43</v>
      </c>
      <c r="B107" s="50">
        <v>0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45" t="s">
        <v>44</v>
      </c>
    </row>
    <row r="108" spans="1:8" ht="15">
      <c r="A108" s="45" t="s">
        <v>45</v>
      </c>
      <c r="B108" s="50">
        <v>0</v>
      </c>
      <c r="C108" s="50">
        <v>0</v>
      </c>
      <c r="D108" s="50">
        <v>0</v>
      </c>
      <c r="E108" s="50">
        <v>0</v>
      </c>
      <c r="F108" s="50">
        <v>0</v>
      </c>
      <c r="G108" s="50">
        <v>0</v>
      </c>
      <c r="H108" s="45" t="s">
        <v>46</v>
      </c>
    </row>
    <row r="109" spans="1:8" ht="15">
      <c r="A109" s="45" t="s">
        <v>47</v>
      </c>
      <c r="B109" s="50">
        <v>0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45" t="s">
        <v>48</v>
      </c>
    </row>
    <row r="110" spans="1:8" ht="15">
      <c r="A110" s="45" t="s">
        <v>49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45" t="s">
        <v>50</v>
      </c>
    </row>
    <row r="111" spans="1:8" ht="15">
      <c r="A111" s="45" t="s">
        <v>51</v>
      </c>
      <c r="B111" s="50">
        <v>0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45" t="s">
        <v>52</v>
      </c>
    </row>
    <row r="112" spans="1:8" ht="15">
      <c r="A112" s="45" t="s">
        <v>53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45" t="s">
        <v>54</v>
      </c>
    </row>
    <row r="113" spans="1:8" ht="15">
      <c r="A113" s="45" t="s">
        <v>55</v>
      </c>
      <c r="B113" s="50">
        <v>0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45" t="s">
        <v>56</v>
      </c>
    </row>
    <row r="114" spans="1:8" ht="15">
      <c r="A114" s="45" t="s">
        <v>57</v>
      </c>
      <c r="B114" s="50">
        <v>0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45" t="s">
        <v>58</v>
      </c>
    </row>
    <row r="115" spans="1:8" ht="15">
      <c r="A115" s="45" t="s">
        <v>59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45" t="s">
        <v>60</v>
      </c>
    </row>
    <row r="116" spans="1:8" ht="15">
      <c r="A116" s="45" t="s">
        <v>61</v>
      </c>
      <c r="B116" s="50">
        <v>2150143587</v>
      </c>
      <c r="C116" s="50">
        <v>0</v>
      </c>
      <c r="D116" s="50">
        <v>221169944</v>
      </c>
      <c r="E116" s="50">
        <v>103962337</v>
      </c>
      <c r="F116" s="50">
        <v>2267351194</v>
      </c>
      <c r="G116" s="50">
        <v>0</v>
      </c>
      <c r="H116" s="45" t="s">
        <v>62</v>
      </c>
    </row>
    <row r="117" spans="1:8" ht="15">
      <c r="A117" s="45" t="s">
        <v>63</v>
      </c>
      <c r="B117" s="50">
        <v>2150143587</v>
      </c>
      <c r="C117" s="50">
        <v>0</v>
      </c>
      <c r="D117" s="50">
        <v>221169944</v>
      </c>
      <c r="E117" s="50">
        <v>103962337</v>
      </c>
      <c r="F117" s="50">
        <v>2267351194</v>
      </c>
      <c r="G117" s="50">
        <v>0</v>
      </c>
      <c r="H117" s="45" t="s">
        <v>62</v>
      </c>
    </row>
    <row r="118" spans="1:8" ht="15">
      <c r="A118" s="45" t="s">
        <v>64</v>
      </c>
      <c r="B118" s="50">
        <v>0</v>
      </c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45" t="s">
        <v>65</v>
      </c>
    </row>
    <row r="119" spans="1:8" ht="15">
      <c r="A119" s="45" t="s">
        <v>66</v>
      </c>
      <c r="B119" s="50">
        <v>0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45" t="s">
        <v>1114</v>
      </c>
    </row>
    <row r="120" spans="1:8" ht="15">
      <c r="A120" s="45" t="s">
        <v>67</v>
      </c>
      <c r="B120" s="50">
        <v>0</v>
      </c>
      <c r="C120" s="50">
        <v>0</v>
      </c>
      <c r="D120" s="50">
        <v>0</v>
      </c>
      <c r="E120" s="50">
        <v>0</v>
      </c>
      <c r="F120" s="50">
        <v>0</v>
      </c>
      <c r="G120" s="50">
        <v>0</v>
      </c>
      <c r="H120" s="45" t="s">
        <v>68</v>
      </c>
    </row>
    <row r="121" spans="1:8" ht="15">
      <c r="A121" s="45" t="s">
        <v>69</v>
      </c>
      <c r="B121" s="50">
        <v>0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  <c r="H121" s="45" t="s">
        <v>1113</v>
      </c>
    </row>
    <row r="122" spans="1:8" ht="15">
      <c r="A122" s="45" t="s">
        <v>70</v>
      </c>
      <c r="B122" s="50">
        <v>0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45" t="s">
        <v>71</v>
      </c>
    </row>
    <row r="123" spans="1:8" ht="15">
      <c r="A123" s="45" t="s">
        <v>72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45" t="s">
        <v>73</v>
      </c>
    </row>
    <row r="124" spans="1:8" ht="15">
      <c r="A124" s="45" t="s">
        <v>74</v>
      </c>
      <c r="B124" s="50">
        <v>0</v>
      </c>
      <c r="C124" s="50">
        <v>0</v>
      </c>
      <c r="D124" s="50">
        <v>1897958728</v>
      </c>
      <c r="E124" s="50">
        <v>0</v>
      </c>
      <c r="F124" s="50">
        <v>1897958728</v>
      </c>
      <c r="G124" s="50">
        <v>0</v>
      </c>
      <c r="H124" s="45" t="s">
        <v>75</v>
      </c>
    </row>
    <row r="125" spans="1:8" ht="15">
      <c r="A125" s="45" t="s">
        <v>76</v>
      </c>
      <c r="B125" s="50">
        <v>0</v>
      </c>
      <c r="C125" s="50">
        <v>0</v>
      </c>
      <c r="D125" s="50">
        <v>1897958728</v>
      </c>
      <c r="E125" s="50">
        <v>0</v>
      </c>
      <c r="F125" s="50">
        <v>1897958728</v>
      </c>
      <c r="G125" s="50">
        <v>0</v>
      </c>
      <c r="H125" s="45" t="s">
        <v>77</v>
      </c>
    </row>
    <row r="126" spans="1:8" ht="15">
      <c r="A126" s="45" t="s">
        <v>78</v>
      </c>
      <c r="B126" s="50">
        <v>0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45" t="s">
        <v>79</v>
      </c>
    </row>
    <row r="127" spans="1:8" ht="15">
      <c r="A127" s="45" t="s">
        <v>80</v>
      </c>
      <c r="B127" s="50">
        <v>0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45" t="s">
        <v>81</v>
      </c>
    </row>
    <row r="128" spans="1:8" ht="15">
      <c r="A128" s="45" t="s">
        <v>82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45" t="s">
        <v>83</v>
      </c>
    </row>
    <row r="129" spans="1:8" ht="15">
      <c r="A129" s="45" t="s">
        <v>84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45" t="s">
        <v>85</v>
      </c>
    </row>
    <row r="130" spans="1:8" ht="15">
      <c r="A130" s="45" t="s">
        <v>86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45" t="s">
        <v>87</v>
      </c>
    </row>
    <row r="131" spans="1:8" ht="15">
      <c r="A131" s="45" t="s">
        <v>88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45" t="s">
        <v>89</v>
      </c>
    </row>
    <row r="132" spans="1:8" ht="15">
      <c r="A132" s="45" t="s">
        <v>90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45" t="s">
        <v>91</v>
      </c>
    </row>
    <row r="133" spans="1:8" ht="15">
      <c r="A133" s="45" t="s">
        <v>92</v>
      </c>
      <c r="B133" s="50"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45" t="s">
        <v>93</v>
      </c>
    </row>
    <row r="134" spans="1:8" ht="15">
      <c r="A134" s="45" t="s">
        <v>94</v>
      </c>
      <c r="B134" s="50">
        <v>0</v>
      </c>
      <c r="C134" s="50">
        <v>348383847</v>
      </c>
      <c r="D134" s="50">
        <v>72219707</v>
      </c>
      <c r="E134" s="50">
        <v>693300270</v>
      </c>
      <c r="F134" s="50">
        <v>0</v>
      </c>
      <c r="G134" s="50">
        <v>969464410</v>
      </c>
      <c r="H134" s="45" t="s">
        <v>95</v>
      </c>
    </row>
    <row r="135" spans="1:8" ht="15">
      <c r="A135" s="45" t="s">
        <v>96</v>
      </c>
      <c r="B135" s="50">
        <v>0</v>
      </c>
      <c r="C135" s="50">
        <v>348383847</v>
      </c>
      <c r="D135" s="50">
        <v>72219707</v>
      </c>
      <c r="E135" s="50">
        <v>377899926</v>
      </c>
      <c r="F135" s="50">
        <v>0</v>
      </c>
      <c r="G135" s="50">
        <v>654064066</v>
      </c>
      <c r="H135" s="45" t="s">
        <v>97</v>
      </c>
    </row>
    <row r="136" spans="1:8" ht="15">
      <c r="A136" s="45" t="s">
        <v>98</v>
      </c>
      <c r="B136" s="50">
        <v>0</v>
      </c>
      <c r="C136" s="50">
        <v>348383847</v>
      </c>
      <c r="D136" s="50">
        <v>72219707</v>
      </c>
      <c r="E136" s="50">
        <v>377899926</v>
      </c>
      <c r="F136" s="50">
        <v>0</v>
      </c>
      <c r="G136" s="50">
        <v>654064066</v>
      </c>
      <c r="H136" s="45" t="s">
        <v>99</v>
      </c>
    </row>
    <row r="137" spans="1:8" ht="15">
      <c r="A137" s="45" t="s">
        <v>100</v>
      </c>
      <c r="B137" s="50">
        <v>0</v>
      </c>
      <c r="C137" s="50">
        <v>0</v>
      </c>
      <c r="D137" s="50">
        <v>0</v>
      </c>
      <c r="E137" s="50">
        <v>315400344</v>
      </c>
      <c r="F137" s="50">
        <v>0</v>
      </c>
      <c r="G137" s="50">
        <v>315400344</v>
      </c>
      <c r="H137" s="45" t="s">
        <v>101</v>
      </c>
    </row>
    <row r="138" spans="1:8" ht="15">
      <c r="A138" s="45" t="s">
        <v>102</v>
      </c>
      <c r="B138" s="50">
        <v>0</v>
      </c>
      <c r="C138" s="50">
        <v>0</v>
      </c>
      <c r="D138" s="50">
        <v>0</v>
      </c>
      <c r="E138" s="50">
        <v>315400344</v>
      </c>
      <c r="F138" s="50">
        <v>0</v>
      </c>
      <c r="G138" s="50">
        <v>315400344</v>
      </c>
      <c r="H138" s="45" t="s">
        <v>103</v>
      </c>
    </row>
    <row r="139" spans="1:8" ht="15">
      <c r="A139" s="45" t="s">
        <v>104</v>
      </c>
      <c r="B139" s="50">
        <v>0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45" t="s">
        <v>105</v>
      </c>
    </row>
    <row r="140" spans="1:8" ht="15">
      <c r="A140" s="45" t="s">
        <v>106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45" t="s">
        <v>107</v>
      </c>
    </row>
    <row r="141" spans="1:8" ht="15">
      <c r="A141" s="45" t="s">
        <v>108</v>
      </c>
      <c r="B141" s="50">
        <v>0</v>
      </c>
      <c r="C141" s="50">
        <v>0</v>
      </c>
      <c r="D141" s="50">
        <v>0</v>
      </c>
      <c r="E141" s="50">
        <v>0</v>
      </c>
      <c r="F141" s="50">
        <v>0</v>
      </c>
      <c r="G141" s="50">
        <v>0</v>
      </c>
      <c r="H141" s="45" t="s">
        <v>109</v>
      </c>
    </row>
    <row r="142" spans="1:8" ht="15">
      <c r="A142" s="45" t="s">
        <v>110</v>
      </c>
      <c r="B142" s="50">
        <v>0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45" t="s">
        <v>354</v>
      </c>
    </row>
    <row r="143" spans="1:8" ht="15">
      <c r="A143" s="45" t="s">
        <v>355</v>
      </c>
      <c r="B143" s="50">
        <v>0</v>
      </c>
      <c r="C143" s="50">
        <v>0</v>
      </c>
      <c r="D143" s="50">
        <v>0</v>
      </c>
      <c r="E143" s="50">
        <v>0</v>
      </c>
      <c r="F143" s="50">
        <v>0</v>
      </c>
      <c r="G143" s="50">
        <v>0</v>
      </c>
      <c r="H143" s="45" t="s">
        <v>356</v>
      </c>
    </row>
    <row r="144" spans="1:8" ht="15">
      <c r="A144" s="45" t="s">
        <v>1115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45" t="s">
        <v>357</v>
      </c>
    </row>
    <row r="145" spans="1:8" ht="15">
      <c r="A145" s="45" t="s">
        <v>358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45" t="s">
        <v>359</v>
      </c>
    </row>
    <row r="146" spans="1:8" ht="15">
      <c r="A146" s="45" t="s">
        <v>360</v>
      </c>
      <c r="B146" s="50">
        <v>0</v>
      </c>
      <c r="C146" s="50">
        <v>0</v>
      </c>
      <c r="D146" s="50">
        <v>0</v>
      </c>
      <c r="E146" s="50">
        <v>0</v>
      </c>
      <c r="F146" s="50">
        <v>0</v>
      </c>
      <c r="G146" s="50">
        <v>0</v>
      </c>
      <c r="H146" s="45" t="s">
        <v>361</v>
      </c>
    </row>
    <row r="147" spans="1:8" ht="15">
      <c r="A147" s="45" t="s">
        <v>362</v>
      </c>
      <c r="B147" s="50">
        <v>7011585</v>
      </c>
      <c r="C147" s="50">
        <v>0</v>
      </c>
      <c r="D147" s="50">
        <v>323651762</v>
      </c>
      <c r="E147" s="50">
        <v>327330014</v>
      </c>
      <c r="F147" s="50">
        <v>3333333</v>
      </c>
      <c r="G147" s="50">
        <v>0</v>
      </c>
      <c r="H147" s="45" t="s">
        <v>363</v>
      </c>
    </row>
    <row r="148" spans="1:8" ht="15">
      <c r="A148" s="45" t="s">
        <v>364</v>
      </c>
      <c r="B148" s="50">
        <v>7011585</v>
      </c>
      <c r="C148" s="50">
        <v>0</v>
      </c>
      <c r="D148" s="50">
        <v>323651762</v>
      </c>
      <c r="E148" s="50">
        <v>327330014</v>
      </c>
      <c r="F148" s="50">
        <v>3333333</v>
      </c>
      <c r="G148" s="50">
        <v>0</v>
      </c>
      <c r="H148" s="45" t="s">
        <v>365</v>
      </c>
    </row>
    <row r="149" spans="1:8" ht="15">
      <c r="A149" s="45" t="s">
        <v>366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45" t="s">
        <v>367</v>
      </c>
    </row>
    <row r="150" spans="1:8" ht="15">
      <c r="A150" s="45" t="s">
        <v>368</v>
      </c>
      <c r="B150" s="50">
        <v>0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45" t="s">
        <v>369</v>
      </c>
    </row>
    <row r="151" spans="1:8" ht="15">
      <c r="A151" s="45" t="s">
        <v>370</v>
      </c>
      <c r="B151" s="50">
        <v>312983616</v>
      </c>
      <c r="C151" s="50">
        <v>0</v>
      </c>
      <c r="D151" s="50">
        <v>488408298</v>
      </c>
      <c r="E151" s="50">
        <v>595690219</v>
      </c>
      <c r="F151" s="50">
        <v>205701695</v>
      </c>
      <c r="G151" s="50">
        <v>0</v>
      </c>
      <c r="H151" s="45" t="s">
        <v>371</v>
      </c>
    </row>
    <row r="152" spans="1:8" ht="15">
      <c r="A152" s="45" t="s">
        <v>372</v>
      </c>
      <c r="B152" s="50">
        <v>312983616</v>
      </c>
      <c r="C152" s="50">
        <v>0</v>
      </c>
      <c r="D152" s="50">
        <v>488408298</v>
      </c>
      <c r="E152" s="50">
        <v>595690219</v>
      </c>
      <c r="F152" s="50">
        <v>205701695</v>
      </c>
      <c r="G152" s="50">
        <v>0</v>
      </c>
      <c r="H152" s="45" t="s">
        <v>373</v>
      </c>
    </row>
    <row r="153" spans="1:8" ht="15">
      <c r="A153" s="45" t="s">
        <v>374</v>
      </c>
      <c r="B153" s="50">
        <v>205002000</v>
      </c>
      <c r="C153" s="50">
        <v>0</v>
      </c>
      <c r="D153" s="50">
        <v>0</v>
      </c>
      <c r="E153" s="50">
        <v>99878328</v>
      </c>
      <c r="F153" s="50">
        <v>105123672</v>
      </c>
      <c r="G153" s="50">
        <v>0</v>
      </c>
      <c r="H153" s="45" t="s">
        <v>770</v>
      </c>
    </row>
    <row r="154" spans="1:8" ht="15">
      <c r="A154" s="45" t="s">
        <v>771</v>
      </c>
      <c r="B154" s="50">
        <v>205002000</v>
      </c>
      <c r="C154" s="50">
        <v>0</v>
      </c>
      <c r="D154" s="50">
        <v>0</v>
      </c>
      <c r="E154" s="50">
        <v>99878328</v>
      </c>
      <c r="F154" s="50">
        <v>105123672</v>
      </c>
      <c r="G154" s="50">
        <v>0</v>
      </c>
      <c r="H154" s="45" t="s">
        <v>111</v>
      </c>
    </row>
    <row r="155" spans="1:8" ht="15">
      <c r="A155" s="45" t="s">
        <v>112</v>
      </c>
      <c r="B155" s="50">
        <v>0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45" t="s">
        <v>113</v>
      </c>
    </row>
    <row r="156" spans="1:8" ht="15">
      <c r="A156" s="45" t="s">
        <v>114</v>
      </c>
      <c r="B156" s="50">
        <v>0</v>
      </c>
      <c r="C156" s="50">
        <v>0</v>
      </c>
      <c r="D156" s="50">
        <v>0</v>
      </c>
      <c r="E156" s="50">
        <v>0</v>
      </c>
      <c r="F156" s="50">
        <v>0</v>
      </c>
      <c r="G156" s="50">
        <v>0</v>
      </c>
      <c r="H156" s="45" t="s">
        <v>115</v>
      </c>
    </row>
    <row r="157" spans="1:8" ht="15">
      <c r="A157" s="45" t="s">
        <v>116</v>
      </c>
      <c r="B157" s="50">
        <v>0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45" t="s">
        <v>117</v>
      </c>
    </row>
    <row r="158" spans="1:8" ht="15">
      <c r="A158" s="45" t="s">
        <v>118</v>
      </c>
      <c r="B158" s="50">
        <v>0</v>
      </c>
      <c r="C158" s="50">
        <v>0</v>
      </c>
      <c r="D158" s="50">
        <v>0</v>
      </c>
      <c r="E158" s="50">
        <v>0</v>
      </c>
      <c r="F158" s="50">
        <v>0</v>
      </c>
      <c r="G158" s="50">
        <v>0</v>
      </c>
      <c r="H158" s="45" t="s">
        <v>119</v>
      </c>
    </row>
    <row r="159" spans="1:8" ht="15">
      <c r="A159" s="45" t="s">
        <v>120</v>
      </c>
      <c r="B159" s="50">
        <v>0</v>
      </c>
      <c r="C159" s="50">
        <v>549600000</v>
      </c>
      <c r="D159" s="50">
        <v>1198665313</v>
      </c>
      <c r="E159" s="50">
        <v>1069065313</v>
      </c>
      <c r="F159" s="50">
        <v>0</v>
      </c>
      <c r="G159" s="50">
        <v>420000000</v>
      </c>
      <c r="H159" s="45" t="s">
        <v>121</v>
      </c>
    </row>
    <row r="160" spans="1:8" ht="15">
      <c r="A160" s="45" t="s">
        <v>122</v>
      </c>
      <c r="B160" s="50">
        <v>0</v>
      </c>
      <c r="C160" s="50">
        <v>549600000</v>
      </c>
      <c r="D160" s="50">
        <v>1198665313</v>
      </c>
      <c r="E160" s="50">
        <v>1069065313</v>
      </c>
      <c r="F160" s="50">
        <v>0</v>
      </c>
      <c r="G160" s="50">
        <v>420000000</v>
      </c>
      <c r="H160" s="45" t="s">
        <v>123</v>
      </c>
    </row>
    <row r="161" spans="1:8" ht="15">
      <c r="A161" s="45" t="s">
        <v>124</v>
      </c>
      <c r="B161" s="50">
        <v>245695900</v>
      </c>
      <c r="C161" s="50">
        <v>5351597266</v>
      </c>
      <c r="D161" s="50">
        <v>36352575575</v>
      </c>
      <c r="E161" s="50">
        <v>35966118604</v>
      </c>
      <c r="F161" s="50">
        <v>91470400</v>
      </c>
      <c r="G161" s="50">
        <v>4810914795</v>
      </c>
      <c r="H161" s="45" t="s">
        <v>125</v>
      </c>
    </row>
    <row r="162" spans="1:8" ht="15">
      <c r="A162" s="45" t="s">
        <v>126</v>
      </c>
      <c r="B162" s="50">
        <v>245695900</v>
      </c>
      <c r="C162" s="50">
        <v>5351597266</v>
      </c>
      <c r="D162" s="50">
        <v>36352575575</v>
      </c>
      <c r="E162" s="50">
        <v>35966118604</v>
      </c>
      <c r="F162" s="50">
        <v>91470400</v>
      </c>
      <c r="G162" s="50">
        <v>4810914795</v>
      </c>
      <c r="H162" s="45" t="s">
        <v>321</v>
      </c>
    </row>
    <row r="163" spans="1:8" ht="15">
      <c r="A163" s="45" t="s">
        <v>322</v>
      </c>
      <c r="B163" s="50">
        <v>107497277</v>
      </c>
      <c r="C163" s="50">
        <v>18000515</v>
      </c>
      <c r="D163" s="50">
        <v>1941452205</v>
      </c>
      <c r="E163" s="50">
        <v>2249704883</v>
      </c>
      <c r="F163" s="50">
        <v>0</v>
      </c>
      <c r="G163" s="50">
        <v>218755916</v>
      </c>
      <c r="H163" s="45" t="s">
        <v>323</v>
      </c>
    </row>
    <row r="164" spans="1:8" ht="15">
      <c r="A164" s="45" t="s">
        <v>324</v>
      </c>
      <c r="B164" s="50">
        <v>105639968</v>
      </c>
      <c r="C164" s="50">
        <v>0</v>
      </c>
      <c r="D164" s="50">
        <v>1921294188</v>
      </c>
      <c r="E164" s="50">
        <v>2060955405</v>
      </c>
      <c r="F164" s="50">
        <v>0</v>
      </c>
      <c r="G164" s="50">
        <v>34021249</v>
      </c>
      <c r="H164" s="45" t="s">
        <v>325</v>
      </c>
    </row>
    <row r="165" spans="1:8" ht="15">
      <c r="A165" s="45" t="s">
        <v>326</v>
      </c>
      <c r="B165" s="50">
        <v>105639968</v>
      </c>
      <c r="C165" s="50">
        <v>0</v>
      </c>
      <c r="D165" s="50">
        <v>1921294188</v>
      </c>
      <c r="E165" s="50">
        <v>2060955405</v>
      </c>
      <c r="F165" s="50">
        <v>0</v>
      </c>
      <c r="G165" s="50">
        <v>34021249</v>
      </c>
      <c r="H165" s="45" t="s">
        <v>327</v>
      </c>
    </row>
    <row r="166" spans="1:8" ht="15">
      <c r="A166" s="45" t="s">
        <v>328</v>
      </c>
      <c r="B166" s="50">
        <v>105639968</v>
      </c>
      <c r="C166" s="50">
        <v>0</v>
      </c>
      <c r="D166" s="50">
        <v>1921294188</v>
      </c>
      <c r="E166" s="50">
        <v>2060955405</v>
      </c>
      <c r="F166" s="50">
        <v>0</v>
      </c>
      <c r="G166" s="50">
        <v>34021249</v>
      </c>
      <c r="H166" s="45" t="s">
        <v>329</v>
      </c>
    </row>
    <row r="167" spans="1:8" ht="15">
      <c r="A167" s="45" t="s">
        <v>330</v>
      </c>
      <c r="B167" s="50">
        <v>0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45" t="s">
        <v>331</v>
      </c>
    </row>
    <row r="168" spans="1:8" ht="15">
      <c r="A168" s="45" t="s">
        <v>332</v>
      </c>
      <c r="B168" s="50">
        <v>0</v>
      </c>
      <c r="C168" s="50">
        <v>0</v>
      </c>
      <c r="D168" s="50">
        <v>0</v>
      </c>
      <c r="E168" s="50">
        <v>0</v>
      </c>
      <c r="F168" s="50">
        <v>0</v>
      </c>
      <c r="G168" s="50">
        <v>0</v>
      </c>
      <c r="H168" s="45" t="s">
        <v>333</v>
      </c>
    </row>
    <row r="169" spans="1:8" ht="15">
      <c r="A169" s="45" t="s">
        <v>334</v>
      </c>
      <c r="B169" s="50">
        <v>1857309</v>
      </c>
      <c r="C169" s="50">
        <v>0</v>
      </c>
      <c r="D169" s="50">
        <v>0</v>
      </c>
      <c r="E169" s="50">
        <v>155014815</v>
      </c>
      <c r="F169" s="50">
        <v>0</v>
      </c>
      <c r="G169" s="50">
        <v>153157506</v>
      </c>
      <c r="H169" s="45" t="s">
        <v>801</v>
      </c>
    </row>
    <row r="170" spans="1:8" ht="15">
      <c r="A170" s="45" t="s">
        <v>802</v>
      </c>
      <c r="B170" s="50">
        <v>1857309</v>
      </c>
      <c r="C170" s="50">
        <v>0</v>
      </c>
      <c r="D170" s="50">
        <v>0</v>
      </c>
      <c r="E170" s="50">
        <v>155014815</v>
      </c>
      <c r="F170" s="50">
        <v>0</v>
      </c>
      <c r="G170" s="50">
        <v>151418993</v>
      </c>
      <c r="H170" s="45" t="s">
        <v>803</v>
      </c>
    </row>
    <row r="171" spans="1:8" ht="15">
      <c r="A171" s="45" t="s">
        <v>804</v>
      </c>
      <c r="B171" s="50">
        <v>0</v>
      </c>
      <c r="C171" s="50">
        <v>18000515</v>
      </c>
      <c r="D171" s="50">
        <v>20158017</v>
      </c>
      <c r="E171" s="50">
        <v>33734663</v>
      </c>
      <c r="F171" s="50">
        <v>0</v>
      </c>
      <c r="G171" s="50">
        <v>31577161</v>
      </c>
      <c r="H171" s="45" t="s">
        <v>805</v>
      </c>
    </row>
    <row r="172" spans="1:8" ht="15">
      <c r="A172" s="45" t="s">
        <v>806</v>
      </c>
      <c r="B172" s="50">
        <v>0</v>
      </c>
      <c r="C172" s="50">
        <v>18000515</v>
      </c>
      <c r="D172" s="50">
        <v>20158017</v>
      </c>
      <c r="E172" s="50">
        <v>33734663</v>
      </c>
      <c r="F172" s="50">
        <v>0</v>
      </c>
      <c r="G172" s="50">
        <v>31577161</v>
      </c>
      <c r="H172" s="45" t="s">
        <v>807</v>
      </c>
    </row>
    <row r="173" spans="1:8" ht="15">
      <c r="A173" s="45" t="s">
        <v>808</v>
      </c>
      <c r="B173" s="50">
        <v>0</v>
      </c>
      <c r="C173" s="50">
        <v>0</v>
      </c>
      <c r="D173" s="50">
        <v>0</v>
      </c>
      <c r="E173" s="50">
        <v>0</v>
      </c>
      <c r="F173" s="50">
        <v>0</v>
      </c>
      <c r="G173" s="50">
        <v>0</v>
      </c>
      <c r="H173" s="45" t="s">
        <v>809</v>
      </c>
    </row>
    <row r="174" spans="1:8" ht="15">
      <c r="A174" s="45" t="s">
        <v>810</v>
      </c>
      <c r="B174" s="50">
        <v>0</v>
      </c>
      <c r="C174" s="50">
        <v>0</v>
      </c>
      <c r="D174" s="50">
        <v>0</v>
      </c>
      <c r="E174" s="50">
        <v>0</v>
      </c>
      <c r="F174" s="50">
        <v>0</v>
      </c>
      <c r="G174" s="50">
        <v>0</v>
      </c>
      <c r="H174" s="45" t="s">
        <v>811</v>
      </c>
    </row>
    <row r="175" spans="1:8" ht="15">
      <c r="A175" s="45" t="s">
        <v>812</v>
      </c>
      <c r="B175" s="50">
        <v>0</v>
      </c>
      <c r="C175" s="50">
        <v>0</v>
      </c>
      <c r="D175" s="50">
        <v>1867376196</v>
      </c>
      <c r="E175" s="50">
        <v>2271304280</v>
      </c>
      <c r="F175" s="50">
        <v>0</v>
      </c>
      <c r="G175" s="50">
        <v>403928084</v>
      </c>
      <c r="H175" s="45" t="s">
        <v>813</v>
      </c>
    </row>
    <row r="176" spans="1:8" ht="15">
      <c r="A176" s="45" t="s">
        <v>814</v>
      </c>
      <c r="B176" s="50">
        <v>0</v>
      </c>
      <c r="C176" s="50">
        <v>0</v>
      </c>
      <c r="D176" s="50">
        <v>1867376196</v>
      </c>
      <c r="E176" s="50">
        <v>2271304280</v>
      </c>
      <c r="F176" s="50">
        <v>0</v>
      </c>
      <c r="G176" s="50">
        <v>403928084</v>
      </c>
      <c r="H176" s="45" t="s">
        <v>815</v>
      </c>
    </row>
    <row r="177" spans="1:8" ht="15">
      <c r="A177" s="45" t="s">
        <v>816</v>
      </c>
      <c r="B177" s="50">
        <v>0</v>
      </c>
      <c r="C177" s="50">
        <v>217410722</v>
      </c>
      <c r="D177" s="50">
        <v>743814283</v>
      </c>
      <c r="E177" s="50">
        <v>592383325</v>
      </c>
      <c r="F177" s="50">
        <v>0</v>
      </c>
      <c r="G177" s="50">
        <v>65979764</v>
      </c>
      <c r="H177" s="45" t="s">
        <v>817</v>
      </c>
    </row>
    <row r="178" spans="1:8" ht="15">
      <c r="A178" s="45" t="s">
        <v>818</v>
      </c>
      <c r="B178" s="50">
        <v>0</v>
      </c>
      <c r="C178" s="50">
        <v>214840452</v>
      </c>
      <c r="D178" s="50">
        <v>740495233</v>
      </c>
      <c r="E178" s="50">
        <v>586877500</v>
      </c>
      <c r="F178" s="50">
        <v>0</v>
      </c>
      <c r="G178" s="50">
        <v>61222719</v>
      </c>
      <c r="H178" s="45" t="s">
        <v>817</v>
      </c>
    </row>
    <row r="179" spans="1:8" ht="15">
      <c r="A179" s="45" t="s">
        <v>819</v>
      </c>
      <c r="B179" s="50">
        <v>0</v>
      </c>
      <c r="C179" s="50">
        <v>214840452</v>
      </c>
      <c r="D179" s="50">
        <v>740495233</v>
      </c>
      <c r="E179" s="50">
        <v>586877500</v>
      </c>
      <c r="F179" s="50">
        <v>0</v>
      </c>
      <c r="G179" s="50">
        <v>61222719</v>
      </c>
      <c r="H179" s="45" t="s">
        <v>820</v>
      </c>
    </row>
    <row r="180" spans="1:8" ht="15">
      <c r="A180" s="45" t="s">
        <v>821</v>
      </c>
      <c r="B180" s="50">
        <v>0</v>
      </c>
      <c r="C180" s="50">
        <v>2570270</v>
      </c>
      <c r="D180" s="50">
        <v>3319050</v>
      </c>
      <c r="E180" s="50">
        <v>5505825</v>
      </c>
      <c r="F180" s="50">
        <v>0</v>
      </c>
      <c r="G180" s="50">
        <v>4757045</v>
      </c>
      <c r="H180" s="45" t="s">
        <v>822</v>
      </c>
    </row>
    <row r="181" spans="1:8" ht="15">
      <c r="A181" s="45" t="s">
        <v>823</v>
      </c>
      <c r="B181" s="50">
        <v>0</v>
      </c>
      <c r="C181" s="50">
        <v>2570270</v>
      </c>
      <c r="D181" s="50">
        <v>3319050</v>
      </c>
      <c r="E181" s="50">
        <v>5505825</v>
      </c>
      <c r="F181" s="50">
        <v>0</v>
      </c>
      <c r="G181" s="50">
        <v>4757045</v>
      </c>
      <c r="H181" s="45" t="s">
        <v>824</v>
      </c>
    </row>
    <row r="182" spans="1:8" ht="15">
      <c r="A182" s="45" t="s">
        <v>825</v>
      </c>
      <c r="B182" s="50">
        <v>0</v>
      </c>
      <c r="C182" s="50">
        <v>1412783445</v>
      </c>
      <c r="D182" s="50">
        <v>1381119721</v>
      </c>
      <c r="E182" s="50">
        <v>1866945800</v>
      </c>
      <c r="F182" s="50">
        <v>0</v>
      </c>
      <c r="G182" s="50">
        <v>1898609524</v>
      </c>
      <c r="H182" s="45" t="s">
        <v>826</v>
      </c>
    </row>
    <row r="183" spans="1:8" ht="15">
      <c r="A183" s="45" t="s">
        <v>827</v>
      </c>
      <c r="B183" s="50">
        <v>0</v>
      </c>
      <c r="C183" s="50">
        <v>1412783445</v>
      </c>
      <c r="D183" s="50">
        <v>1381119721</v>
      </c>
      <c r="E183" s="50">
        <v>1866945800</v>
      </c>
      <c r="F183" s="50">
        <v>0</v>
      </c>
      <c r="G183" s="50">
        <v>1898609524</v>
      </c>
      <c r="H183" s="45" t="s">
        <v>828</v>
      </c>
    </row>
    <row r="184" spans="1:8" ht="15">
      <c r="A184" s="45" t="s">
        <v>829</v>
      </c>
      <c r="B184" s="50">
        <v>0</v>
      </c>
      <c r="C184" s="50">
        <v>0</v>
      </c>
      <c r="D184" s="50">
        <v>0</v>
      </c>
      <c r="E184" s="50">
        <v>0</v>
      </c>
      <c r="F184" s="50">
        <v>0</v>
      </c>
      <c r="G184" s="50">
        <v>0</v>
      </c>
      <c r="H184" s="45" t="s">
        <v>830</v>
      </c>
    </row>
    <row r="185" spans="1:8" ht="15">
      <c r="A185" s="45" t="s">
        <v>831</v>
      </c>
      <c r="B185" s="50">
        <v>0</v>
      </c>
      <c r="C185" s="50">
        <v>488979736</v>
      </c>
      <c r="D185" s="50">
        <v>3376138943</v>
      </c>
      <c r="E185" s="50">
        <v>3301232201</v>
      </c>
      <c r="F185" s="50">
        <v>2081237</v>
      </c>
      <c r="G185" s="50">
        <v>416154231</v>
      </c>
      <c r="H185" s="45" t="s">
        <v>832</v>
      </c>
    </row>
    <row r="186" spans="1:8" ht="15">
      <c r="A186" s="45" t="s">
        <v>833</v>
      </c>
      <c r="B186" s="50">
        <v>0</v>
      </c>
      <c r="C186" s="50">
        <v>0</v>
      </c>
      <c r="D186" s="50">
        <v>20000000</v>
      </c>
      <c r="E186" s="50">
        <v>20000000</v>
      </c>
      <c r="F186" s="50">
        <v>0</v>
      </c>
      <c r="G186" s="50">
        <v>0</v>
      </c>
      <c r="H186" s="45" t="s">
        <v>834</v>
      </c>
    </row>
    <row r="187" spans="1:8" ht="15">
      <c r="A187" s="45" t="s">
        <v>835</v>
      </c>
      <c r="B187" s="50">
        <v>0</v>
      </c>
      <c r="C187" s="50">
        <v>2984364</v>
      </c>
      <c r="D187" s="50">
        <v>23997442</v>
      </c>
      <c r="E187" s="50">
        <v>42657043</v>
      </c>
      <c r="F187" s="50">
        <v>0</v>
      </c>
      <c r="G187" s="50">
        <v>21643965</v>
      </c>
      <c r="H187" s="45" t="s">
        <v>836</v>
      </c>
    </row>
    <row r="188" spans="1:8" ht="15">
      <c r="A188" s="45" t="s">
        <v>837</v>
      </c>
      <c r="B188" s="50">
        <v>0</v>
      </c>
      <c r="C188" s="50">
        <v>2984364</v>
      </c>
      <c r="D188" s="50">
        <v>23997442</v>
      </c>
      <c r="E188" s="50">
        <v>42657043</v>
      </c>
      <c r="F188" s="50">
        <v>0</v>
      </c>
      <c r="G188" s="50">
        <v>21643965</v>
      </c>
      <c r="H188" s="45" t="s">
        <v>838</v>
      </c>
    </row>
    <row r="189" spans="1:8" ht="15">
      <c r="A189" s="45" t="s">
        <v>839</v>
      </c>
      <c r="B189" s="50">
        <v>0</v>
      </c>
      <c r="C189" s="50">
        <v>0</v>
      </c>
      <c r="D189" s="50">
        <v>83598354</v>
      </c>
      <c r="E189" s="50">
        <v>81815515</v>
      </c>
      <c r="F189" s="50">
        <v>1782839</v>
      </c>
      <c r="G189" s="50">
        <v>0</v>
      </c>
      <c r="H189" s="45" t="s">
        <v>840</v>
      </c>
    </row>
    <row r="190" spans="1:8" ht="15">
      <c r="A190" s="45" t="s">
        <v>841</v>
      </c>
      <c r="B190" s="50">
        <v>0</v>
      </c>
      <c r="C190" s="50">
        <v>0</v>
      </c>
      <c r="D190" s="50">
        <v>83598354</v>
      </c>
      <c r="E190" s="50">
        <v>81815515</v>
      </c>
      <c r="F190" s="50">
        <v>1782839</v>
      </c>
      <c r="G190" s="50">
        <v>0</v>
      </c>
      <c r="H190" s="45" t="s">
        <v>842</v>
      </c>
    </row>
    <row r="191" spans="1:8" ht="15">
      <c r="A191" s="45" t="s">
        <v>843</v>
      </c>
      <c r="B191" s="50">
        <v>0</v>
      </c>
      <c r="C191" s="50">
        <v>0</v>
      </c>
      <c r="D191" s="50">
        <v>12429177</v>
      </c>
      <c r="E191" s="50">
        <v>12130779</v>
      </c>
      <c r="F191" s="50">
        <v>298398</v>
      </c>
      <c r="G191" s="50">
        <v>0</v>
      </c>
      <c r="H191" s="45" t="s">
        <v>844</v>
      </c>
    </row>
    <row r="192" spans="1:8" ht="15">
      <c r="A192" s="45" t="s">
        <v>845</v>
      </c>
      <c r="B192" s="50">
        <v>0</v>
      </c>
      <c r="C192" s="50">
        <v>0</v>
      </c>
      <c r="D192" s="50">
        <v>12429177</v>
      </c>
      <c r="E192" s="50">
        <v>12130779</v>
      </c>
      <c r="F192" s="50">
        <v>298398</v>
      </c>
      <c r="G192" s="50">
        <v>0</v>
      </c>
      <c r="H192" s="45" t="s">
        <v>846</v>
      </c>
    </row>
    <row r="193" spans="1:8" ht="15">
      <c r="A193" s="45" t="s">
        <v>847</v>
      </c>
      <c r="B193" s="50">
        <v>0</v>
      </c>
      <c r="C193" s="50">
        <v>0</v>
      </c>
      <c r="D193" s="50">
        <v>154316953</v>
      </c>
      <c r="E193" s="50">
        <v>154316953</v>
      </c>
      <c r="F193" s="50">
        <v>0</v>
      </c>
      <c r="G193" s="50">
        <v>0</v>
      </c>
      <c r="H193" s="45" t="s">
        <v>848</v>
      </c>
    </row>
    <row r="194" spans="1:8" ht="15">
      <c r="A194" s="45" t="s">
        <v>849</v>
      </c>
      <c r="B194" s="50">
        <v>0</v>
      </c>
      <c r="C194" s="50">
        <v>0</v>
      </c>
      <c r="D194" s="50">
        <v>154316953</v>
      </c>
      <c r="E194" s="50">
        <v>154316953</v>
      </c>
      <c r="F194" s="50">
        <v>0</v>
      </c>
      <c r="G194" s="50">
        <v>0</v>
      </c>
      <c r="H194" s="45" t="s">
        <v>850</v>
      </c>
    </row>
    <row r="195" spans="1:8" ht="15">
      <c r="A195" s="45" t="s">
        <v>851</v>
      </c>
      <c r="B195" s="50">
        <v>0</v>
      </c>
      <c r="C195" s="50">
        <v>485995372</v>
      </c>
      <c r="D195" s="50">
        <v>3081797017</v>
      </c>
      <c r="E195" s="50">
        <v>2990311911</v>
      </c>
      <c r="F195" s="50">
        <v>0</v>
      </c>
      <c r="G195" s="50">
        <v>394510266</v>
      </c>
      <c r="H195" s="45" t="s">
        <v>832</v>
      </c>
    </row>
    <row r="196" spans="1:8" ht="15">
      <c r="A196" s="45" t="s">
        <v>852</v>
      </c>
      <c r="B196" s="50">
        <v>0</v>
      </c>
      <c r="C196" s="50">
        <v>485995372</v>
      </c>
      <c r="D196" s="50">
        <v>3081797017</v>
      </c>
      <c r="E196" s="50">
        <v>2990311911</v>
      </c>
      <c r="F196" s="50">
        <v>0</v>
      </c>
      <c r="G196" s="50">
        <v>394510266</v>
      </c>
      <c r="H196" s="45" t="s">
        <v>853</v>
      </c>
    </row>
    <row r="197" spans="1:8" ht="15">
      <c r="A197" s="45" t="s">
        <v>854</v>
      </c>
      <c r="B197" s="50">
        <v>0</v>
      </c>
      <c r="C197" s="50">
        <v>0</v>
      </c>
      <c r="D197" s="50">
        <v>2969626911</v>
      </c>
      <c r="E197" s="50">
        <v>2969626911</v>
      </c>
      <c r="F197" s="50">
        <v>0</v>
      </c>
      <c r="G197" s="50">
        <v>0</v>
      </c>
      <c r="H197" s="45" t="s">
        <v>855</v>
      </c>
    </row>
    <row r="198" spans="1:8" ht="15">
      <c r="A198" s="45" t="s">
        <v>856</v>
      </c>
      <c r="B198" s="50">
        <v>0</v>
      </c>
      <c r="C198" s="50">
        <v>14273938</v>
      </c>
      <c r="D198" s="50">
        <v>14273938</v>
      </c>
      <c r="E198" s="50">
        <v>0</v>
      </c>
      <c r="F198" s="50">
        <v>0</v>
      </c>
      <c r="G198" s="50">
        <v>0</v>
      </c>
      <c r="H198" s="45" t="s">
        <v>857</v>
      </c>
    </row>
    <row r="199" spans="1:8" ht="15">
      <c r="A199" s="45" t="s">
        <v>858</v>
      </c>
      <c r="B199" s="50">
        <v>0</v>
      </c>
      <c r="C199" s="50">
        <v>471721434</v>
      </c>
      <c r="D199" s="50">
        <v>97896168</v>
      </c>
      <c r="E199" s="50">
        <v>20685000</v>
      </c>
      <c r="F199" s="50">
        <v>0</v>
      </c>
      <c r="G199" s="50">
        <v>394510266</v>
      </c>
      <c r="H199" s="45" t="s">
        <v>859</v>
      </c>
    </row>
    <row r="200" spans="1:8" ht="15">
      <c r="A200" s="45" t="s">
        <v>860</v>
      </c>
      <c r="B200" s="50">
        <v>0</v>
      </c>
      <c r="C200" s="50">
        <v>822000000</v>
      </c>
      <c r="D200" s="50">
        <v>510000000</v>
      </c>
      <c r="E200" s="50">
        <v>0</v>
      </c>
      <c r="F200" s="50">
        <v>0</v>
      </c>
      <c r="G200" s="50">
        <v>312000000</v>
      </c>
      <c r="H200" s="45" t="s">
        <v>861</v>
      </c>
    </row>
    <row r="201" spans="1:8" ht="15">
      <c r="A201" s="45" t="s">
        <v>862</v>
      </c>
      <c r="B201" s="50">
        <v>0</v>
      </c>
      <c r="C201" s="50">
        <v>822000000</v>
      </c>
      <c r="D201" s="50">
        <v>510000000</v>
      </c>
      <c r="E201" s="50">
        <v>0</v>
      </c>
      <c r="F201" s="50">
        <v>0</v>
      </c>
      <c r="G201" s="50">
        <v>312000000</v>
      </c>
      <c r="H201" s="45" t="s">
        <v>863</v>
      </c>
    </row>
    <row r="202" spans="1:8" ht="15">
      <c r="A202" s="45" t="s">
        <v>864</v>
      </c>
      <c r="B202" s="50">
        <v>0</v>
      </c>
      <c r="C202" s="50">
        <v>0</v>
      </c>
      <c r="D202" s="50">
        <v>0</v>
      </c>
      <c r="E202" s="50">
        <v>0</v>
      </c>
      <c r="F202" s="50">
        <v>0</v>
      </c>
      <c r="G202" s="50">
        <v>0</v>
      </c>
      <c r="H202" s="45" t="s">
        <v>865</v>
      </c>
    </row>
    <row r="203" spans="1:8" ht="15">
      <c r="A203" s="45" t="s">
        <v>866</v>
      </c>
      <c r="B203" s="50">
        <v>0</v>
      </c>
      <c r="C203" s="50">
        <v>0</v>
      </c>
      <c r="D203" s="50">
        <v>682384138</v>
      </c>
      <c r="E203" s="50">
        <v>1884402148</v>
      </c>
      <c r="F203" s="50">
        <v>0</v>
      </c>
      <c r="G203" s="50">
        <v>1202018010</v>
      </c>
      <c r="H203" s="45" t="s">
        <v>867</v>
      </c>
    </row>
    <row r="204" spans="1:8" ht="15">
      <c r="A204" s="45" t="s">
        <v>868</v>
      </c>
      <c r="B204" s="50">
        <v>0</v>
      </c>
      <c r="C204" s="50">
        <v>0</v>
      </c>
      <c r="D204" s="50">
        <v>682384138</v>
      </c>
      <c r="E204" s="50">
        <v>1884402148</v>
      </c>
      <c r="F204" s="50">
        <v>0</v>
      </c>
      <c r="G204" s="50">
        <v>1202018010</v>
      </c>
      <c r="H204" s="45" t="s">
        <v>869</v>
      </c>
    </row>
    <row r="205" spans="1:8" ht="15">
      <c r="A205" s="45" t="s">
        <v>870</v>
      </c>
      <c r="B205" s="50">
        <v>0</v>
      </c>
      <c r="C205" s="50">
        <v>0</v>
      </c>
      <c r="D205" s="50">
        <v>0</v>
      </c>
      <c r="E205" s="50">
        <v>0</v>
      </c>
      <c r="F205" s="50">
        <v>0</v>
      </c>
      <c r="G205" s="50">
        <v>0</v>
      </c>
      <c r="H205" s="45" t="s">
        <v>871</v>
      </c>
    </row>
    <row r="206" spans="1:8" ht="15">
      <c r="A206" s="45" t="s">
        <v>872</v>
      </c>
      <c r="B206" s="50">
        <v>0</v>
      </c>
      <c r="C206" s="50">
        <v>36500000</v>
      </c>
      <c r="D206" s="50">
        <v>30000000</v>
      </c>
      <c r="E206" s="50">
        <v>108500000</v>
      </c>
      <c r="F206" s="50">
        <v>0</v>
      </c>
      <c r="G206" s="50">
        <v>115000000</v>
      </c>
      <c r="H206" s="45" t="s">
        <v>873</v>
      </c>
    </row>
    <row r="207" spans="1:8" ht="15">
      <c r="A207" s="45" t="s">
        <v>874</v>
      </c>
      <c r="B207" s="50">
        <v>0</v>
      </c>
      <c r="C207" s="50">
        <v>36500000</v>
      </c>
      <c r="D207" s="50">
        <v>30000000</v>
      </c>
      <c r="E207" s="50">
        <v>108500000</v>
      </c>
      <c r="F207" s="50">
        <v>0</v>
      </c>
      <c r="G207" s="50">
        <v>115000000</v>
      </c>
      <c r="H207" s="45" t="s">
        <v>875</v>
      </c>
    </row>
    <row r="208" spans="1:8" ht="15">
      <c r="A208" s="45" t="s">
        <v>398</v>
      </c>
      <c r="B208" s="50">
        <v>0</v>
      </c>
      <c r="C208" s="50">
        <v>3000000000</v>
      </c>
      <c r="D208" s="50">
        <v>0</v>
      </c>
      <c r="E208" s="50">
        <v>0</v>
      </c>
      <c r="F208" s="50">
        <v>0</v>
      </c>
      <c r="G208" s="50">
        <v>3000000000</v>
      </c>
      <c r="H208" s="45" t="s">
        <v>876</v>
      </c>
    </row>
    <row r="209" spans="1:8" ht="15">
      <c r="A209" s="45" t="s">
        <v>877</v>
      </c>
      <c r="B209" s="50">
        <v>0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45" t="s">
        <v>878</v>
      </c>
    </row>
    <row r="210" spans="1:8" ht="15">
      <c r="A210" s="45" t="s">
        <v>879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45" t="s">
        <v>880</v>
      </c>
    </row>
    <row r="211" spans="1:8" ht="15">
      <c r="A211" s="45" t="s">
        <v>1145</v>
      </c>
      <c r="B211" s="50">
        <v>0</v>
      </c>
      <c r="C211" s="50">
        <v>5912886</v>
      </c>
      <c r="D211" s="50">
        <v>0</v>
      </c>
      <c r="E211" s="50">
        <v>0</v>
      </c>
      <c r="F211" s="50">
        <v>0</v>
      </c>
      <c r="G211" s="50">
        <v>5912886</v>
      </c>
      <c r="H211" s="45" t="s">
        <v>881</v>
      </c>
    </row>
    <row r="212" spans="1:8" ht="15">
      <c r="A212" s="45" t="s">
        <v>1143</v>
      </c>
      <c r="B212" s="50">
        <v>0</v>
      </c>
      <c r="C212" s="50">
        <v>0</v>
      </c>
      <c r="D212" s="50">
        <v>0</v>
      </c>
      <c r="E212" s="50">
        <v>0</v>
      </c>
      <c r="F212" s="50">
        <v>0</v>
      </c>
      <c r="G212" s="50">
        <v>0</v>
      </c>
      <c r="H212" s="45" t="s">
        <v>882</v>
      </c>
    </row>
    <row r="213" spans="1:8" ht="15">
      <c r="A213" s="45" t="s">
        <v>1144</v>
      </c>
      <c r="B213" s="50">
        <v>0</v>
      </c>
      <c r="C213" s="50">
        <v>0</v>
      </c>
      <c r="D213" s="50">
        <v>0</v>
      </c>
      <c r="E213" s="50">
        <v>0</v>
      </c>
      <c r="F213" s="50">
        <v>0</v>
      </c>
      <c r="G213" s="50">
        <v>0</v>
      </c>
      <c r="H213" s="45" t="s">
        <v>883</v>
      </c>
    </row>
    <row r="214" spans="1:8" ht="15">
      <c r="A214" s="45" t="s">
        <v>884</v>
      </c>
      <c r="B214" s="50">
        <v>115592029</v>
      </c>
      <c r="C214" s="50">
        <v>0</v>
      </c>
      <c r="D214" s="50">
        <v>553624339</v>
      </c>
      <c r="E214" s="50">
        <v>669216368</v>
      </c>
      <c r="F214" s="50">
        <v>115592029</v>
      </c>
      <c r="G214" s="50">
        <v>115592029</v>
      </c>
      <c r="H214" s="45" t="s">
        <v>885</v>
      </c>
    </row>
    <row r="215" spans="1:8" ht="15">
      <c r="A215" s="45" t="s">
        <v>886</v>
      </c>
      <c r="B215" s="50">
        <v>115592029</v>
      </c>
      <c r="C215" s="50">
        <v>0</v>
      </c>
      <c r="D215" s="50">
        <v>0</v>
      </c>
      <c r="E215" s="50">
        <v>0</v>
      </c>
      <c r="F215" s="50">
        <v>115592029</v>
      </c>
      <c r="G215" s="50">
        <v>0</v>
      </c>
      <c r="H215" s="45" t="s">
        <v>887</v>
      </c>
    </row>
    <row r="216" spans="1:8" ht="15">
      <c r="A216" s="45" t="s">
        <v>888</v>
      </c>
      <c r="B216" s="50">
        <v>115592029</v>
      </c>
      <c r="C216" s="50">
        <v>0</v>
      </c>
      <c r="D216" s="50">
        <v>0</v>
      </c>
      <c r="E216" s="50">
        <v>0</v>
      </c>
      <c r="F216" s="50">
        <v>115592029</v>
      </c>
      <c r="G216" s="50">
        <v>0</v>
      </c>
      <c r="H216" s="45" t="s">
        <v>889</v>
      </c>
    </row>
    <row r="217" spans="1:8" ht="15">
      <c r="A217" s="45" t="s">
        <v>890</v>
      </c>
      <c r="B217" s="50">
        <v>0</v>
      </c>
      <c r="C217" s="50">
        <v>0</v>
      </c>
      <c r="D217" s="50">
        <v>553624339</v>
      </c>
      <c r="E217" s="50">
        <v>669216368</v>
      </c>
      <c r="F217" s="50">
        <v>0</v>
      </c>
      <c r="G217" s="50">
        <v>115592029</v>
      </c>
      <c r="H217" s="45" t="s">
        <v>891</v>
      </c>
    </row>
    <row r="218" spans="1:8" ht="15">
      <c r="A218" s="45" t="s">
        <v>892</v>
      </c>
      <c r="B218" s="50">
        <v>0</v>
      </c>
      <c r="C218" s="50">
        <v>0</v>
      </c>
      <c r="D218" s="50">
        <v>553624339</v>
      </c>
      <c r="E218" s="50">
        <v>669216368</v>
      </c>
      <c r="F218" s="50">
        <v>0</v>
      </c>
      <c r="G218" s="50">
        <v>115592029</v>
      </c>
      <c r="H218" s="45" t="s">
        <v>893</v>
      </c>
    </row>
    <row r="219" spans="1:8" ht="15">
      <c r="A219" s="45" t="s">
        <v>894</v>
      </c>
      <c r="B219" s="50">
        <v>3731813</v>
      </c>
      <c r="C219" s="50">
        <v>5912886</v>
      </c>
      <c r="D219" s="50">
        <v>7570000</v>
      </c>
      <c r="E219" s="50">
        <v>0</v>
      </c>
      <c r="F219" s="50">
        <v>11301813</v>
      </c>
      <c r="G219" s="50">
        <v>5912886</v>
      </c>
      <c r="H219" s="45" t="s">
        <v>895</v>
      </c>
    </row>
    <row r="220" spans="1:8" ht="15">
      <c r="A220" s="45" t="s">
        <v>896</v>
      </c>
      <c r="B220" s="50">
        <v>0</v>
      </c>
      <c r="C220" s="50">
        <v>5912886</v>
      </c>
      <c r="D220" s="50">
        <v>0</v>
      </c>
      <c r="E220" s="50">
        <v>0</v>
      </c>
      <c r="F220" s="50">
        <v>0</v>
      </c>
      <c r="G220" s="50">
        <v>5912886</v>
      </c>
      <c r="H220" s="45" t="s">
        <v>897</v>
      </c>
    </row>
    <row r="221" spans="1:8" ht="15">
      <c r="A221" s="45" t="s">
        <v>898</v>
      </c>
      <c r="B221" s="50">
        <v>0</v>
      </c>
      <c r="C221" s="50">
        <v>5912886</v>
      </c>
      <c r="D221" s="50">
        <v>0</v>
      </c>
      <c r="E221" s="50">
        <v>0</v>
      </c>
      <c r="F221" s="50">
        <v>0</v>
      </c>
      <c r="G221" s="50">
        <v>5912886</v>
      </c>
      <c r="H221" s="45" t="s">
        <v>899</v>
      </c>
    </row>
    <row r="222" spans="1:8" ht="15">
      <c r="A222" s="45" t="s">
        <v>900</v>
      </c>
      <c r="B222" s="50">
        <v>3731813</v>
      </c>
      <c r="C222" s="50">
        <v>0</v>
      </c>
      <c r="D222" s="50">
        <v>7570000</v>
      </c>
      <c r="E222" s="50">
        <v>0</v>
      </c>
      <c r="F222" s="50">
        <v>11301813</v>
      </c>
      <c r="G222" s="50">
        <v>0</v>
      </c>
      <c r="H222" s="45" t="s">
        <v>901</v>
      </c>
    </row>
    <row r="223" spans="1:8" ht="15">
      <c r="A223" s="45" t="s">
        <v>902</v>
      </c>
      <c r="B223" s="50">
        <v>3731813</v>
      </c>
      <c r="C223" s="50">
        <v>0</v>
      </c>
      <c r="D223" s="50">
        <v>7570000</v>
      </c>
      <c r="E223" s="50">
        <v>0</v>
      </c>
      <c r="F223" s="50">
        <v>11301813</v>
      </c>
      <c r="G223" s="50">
        <v>0</v>
      </c>
      <c r="H223" s="45" t="s">
        <v>903</v>
      </c>
    </row>
    <row r="224" spans="1:8" ht="15">
      <c r="A224" s="45" t="s">
        <v>904</v>
      </c>
      <c r="B224" s="50">
        <v>0</v>
      </c>
      <c r="C224" s="50">
        <v>0</v>
      </c>
      <c r="D224" s="50">
        <v>0</v>
      </c>
      <c r="E224" s="50">
        <v>0</v>
      </c>
      <c r="F224" s="50">
        <v>0</v>
      </c>
      <c r="G224" s="50">
        <v>0</v>
      </c>
      <c r="H224" s="45" t="s">
        <v>905</v>
      </c>
    </row>
    <row r="225" spans="1:8" ht="15">
      <c r="A225" s="45" t="s">
        <v>906</v>
      </c>
      <c r="B225" s="50">
        <v>0</v>
      </c>
      <c r="C225" s="50">
        <v>0</v>
      </c>
      <c r="D225" s="50">
        <v>0</v>
      </c>
      <c r="E225" s="50">
        <v>0</v>
      </c>
      <c r="F225" s="50">
        <v>0</v>
      </c>
      <c r="G225" s="50">
        <v>0</v>
      </c>
      <c r="H225" s="45" t="s">
        <v>907</v>
      </c>
    </row>
    <row r="226" spans="1:8" ht="15">
      <c r="A226" s="45" t="s">
        <v>908</v>
      </c>
      <c r="B226" s="50">
        <v>0</v>
      </c>
      <c r="C226" s="50">
        <v>0</v>
      </c>
      <c r="D226" s="50">
        <v>0</v>
      </c>
      <c r="E226" s="50">
        <v>0</v>
      </c>
      <c r="F226" s="50">
        <v>0</v>
      </c>
      <c r="G226" s="50">
        <v>0</v>
      </c>
      <c r="H226" s="45" t="s">
        <v>909</v>
      </c>
    </row>
    <row r="227" spans="1:8" ht="15">
      <c r="A227" s="45" t="s">
        <v>910</v>
      </c>
      <c r="B227" s="50">
        <v>0</v>
      </c>
      <c r="C227" s="50">
        <v>0</v>
      </c>
      <c r="D227" s="50">
        <v>0</v>
      </c>
      <c r="E227" s="50">
        <v>0</v>
      </c>
      <c r="F227" s="50">
        <v>0</v>
      </c>
      <c r="G227" s="50">
        <v>0</v>
      </c>
      <c r="H227" s="45" t="s">
        <v>911</v>
      </c>
    </row>
    <row r="228" spans="1:8" ht="15">
      <c r="A228" s="45" t="s">
        <v>912</v>
      </c>
      <c r="B228" s="50">
        <v>0</v>
      </c>
      <c r="C228" s="50">
        <v>0</v>
      </c>
      <c r="D228" s="50">
        <v>0</v>
      </c>
      <c r="E228" s="50">
        <v>0</v>
      </c>
      <c r="F228" s="50">
        <v>0</v>
      </c>
      <c r="G228" s="50">
        <v>0</v>
      </c>
      <c r="H228" s="45" t="s">
        <v>913</v>
      </c>
    </row>
    <row r="229" spans="1:8" ht="15">
      <c r="A229" s="45" t="s">
        <v>914</v>
      </c>
      <c r="B229" s="50">
        <v>0</v>
      </c>
      <c r="C229" s="50">
        <v>0</v>
      </c>
      <c r="D229" s="50">
        <v>0</v>
      </c>
      <c r="E229" s="50">
        <v>0</v>
      </c>
      <c r="F229" s="50">
        <v>0</v>
      </c>
      <c r="G229" s="50">
        <v>0</v>
      </c>
      <c r="H229" s="45" t="s">
        <v>915</v>
      </c>
    </row>
    <row r="230" spans="1:8" ht="15">
      <c r="A230" s="45" t="s">
        <v>916</v>
      </c>
      <c r="B230" s="50">
        <v>0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45" t="s">
        <v>917</v>
      </c>
    </row>
    <row r="231" spans="1:8" ht="15">
      <c r="A231" s="45" t="s">
        <v>918</v>
      </c>
      <c r="B231" s="50">
        <v>0</v>
      </c>
      <c r="C231" s="50">
        <v>0</v>
      </c>
      <c r="D231" s="50">
        <v>0</v>
      </c>
      <c r="E231" s="50">
        <v>0</v>
      </c>
      <c r="F231" s="50">
        <v>0</v>
      </c>
      <c r="G231" s="50">
        <v>0</v>
      </c>
      <c r="H231" s="45" t="s">
        <v>919</v>
      </c>
    </row>
    <row r="232" spans="1:8" ht="15">
      <c r="A232" s="45" t="s">
        <v>920</v>
      </c>
      <c r="B232" s="50">
        <v>0</v>
      </c>
      <c r="C232" s="50">
        <v>0</v>
      </c>
      <c r="D232" s="50">
        <v>40754122674</v>
      </c>
      <c r="E232" s="50">
        <v>40754122674</v>
      </c>
      <c r="F232" s="50">
        <v>0</v>
      </c>
      <c r="G232" s="50">
        <v>0</v>
      </c>
      <c r="H232" s="45" t="s">
        <v>921</v>
      </c>
    </row>
    <row r="233" spans="1:8" ht="15">
      <c r="A233" s="45" t="s">
        <v>922</v>
      </c>
      <c r="B233" s="50">
        <v>0</v>
      </c>
      <c r="C233" s="50">
        <v>0</v>
      </c>
      <c r="D233" s="50">
        <v>9814203580</v>
      </c>
      <c r="E233" s="50">
        <v>9814203580</v>
      </c>
      <c r="F233" s="50">
        <v>0</v>
      </c>
      <c r="G233" s="50">
        <v>0</v>
      </c>
      <c r="H233" s="45" t="s">
        <v>923</v>
      </c>
    </row>
    <row r="234" spans="1:8" ht="15">
      <c r="A234" s="45" t="s">
        <v>924</v>
      </c>
      <c r="B234" s="50">
        <v>0</v>
      </c>
      <c r="C234" s="50">
        <v>0</v>
      </c>
      <c r="D234" s="50">
        <v>9814203580</v>
      </c>
      <c r="E234" s="50">
        <v>9814203580</v>
      </c>
      <c r="F234" s="50">
        <v>0</v>
      </c>
      <c r="G234" s="50">
        <v>0</v>
      </c>
      <c r="H234" s="45" t="s">
        <v>925</v>
      </c>
    </row>
    <row r="235" spans="1:8" ht="15">
      <c r="A235" s="45" t="s">
        <v>926</v>
      </c>
      <c r="B235" s="50">
        <v>0</v>
      </c>
      <c r="C235" s="50">
        <v>0</v>
      </c>
      <c r="D235" s="50">
        <v>9814203580</v>
      </c>
      <c r="E235" s="50">
        <v>9814203580</v>
      </c>
      <c r="F235" s="50">
        <v>0</v>
      </c>
      <c r="G235" s="50">
        <v>0</v>
      </c>
      <c r="H235" s="45" t="s">
        <v>927</v>
      </c>
    </row>
    <row r="236" spans="1:8" ht="15">
      <c r="A236" s="45" t="s">
        <v>928</v>
      </c>
      <c r="B236" s="50">
        <v>0</v>
      </c>
      <c r="C236" s="50">
        <v>0</v>
      </c>
      <c r="D236" s="50">
        <v>30939919094</v>
      </c>
      <c r="E236" s="50">
        <v>30939919094</v>
      </c>
      <c r="F236" s="50">
        <v>0</v>
      </c>
      <c r="G236" s="50">
        <v>0</v>
      </c>
      <c r="H236" s="45" t="s">
        <v>929</v>
      </c>
    </row>
    <row r="237" spans="1:8" ht="15">
      <c r="A237" s="45" t="s">
        <v>930</v>
      </c>
      <c r="B237" s="50">
        <v>0</v>
      </c>
      <c r="C237" s="50">
        <v>0</v>
      </c>
      <c r="D237" s="50">
        <v>30939919094</v>
      </c>
      <c r="E237" s="50">
        <v>30939919094</v>
      </c>
      <c r="F237" s="50">
        <v>0</v>
      </c>
      <c r="G237" s="50">
        <v>0</v>
      </c>
      <c r="H237" s="45" t="s">
        <v>931</v>
      </c>
    </row>
    <row r="238" spans="1:8" ht="15">
      <c r="A238" s="45" t="s">
        <v>932</v>
      </c>
      <c r="B238" s="50">
        <v>0</v>
      </c>
      <c r="C238" s="50">
        <v>0</v>
      </c>
      <c r="D238" s="50">
        <v>68186158</v>
      </c>
      <c r="E238" s="50">
        <v>68186158</v>
      </c>
      <c r="F238" s="50">
        <v>0</v>
      </c>
      <c r="G238" s="50">
        <v>0</v>
      </c>
      <c r="H238" s="45" t="s">
        <v>933</v>
      </c>
    </row>
    <row r="239" spans="1:8" ht="15">
      <c r="A239" s="45" t="s">
        <v>934</v>
      </c>
      <c r="B239" s="50">
        <v>0</v>
      </c>
      <c r="C239" s="50">
        <v>0</v>
      </c>
      <c r="D239" s="50">
        <v>3866104787</v>
      </c>
      <c r="E239" s="50">
        <v>3866104787</v>
      </c>
      <c r="F239" s="50">
        <v>0</v>
      </c>
      <c r="G239" s="50">
        <v>0</v>
      </c>
      <c r="H239" s="45" t="s">
        <v>935</v>
      </c>
    </row>
    <row r="240" spans="1:8" ht="15">
      <c r="A240" s="45" t="s">
        <v>936</v>
      </c>
      <c r="B240" s="50">
        <v>0</v>
      </c>
      <c r="C240" s="50">
        <v>0</v>
      </c>
      <c r="D240" s="50">
        <v>2156043320</v>
      </c>
      <c r="E240" s="50">
        <v>2156043320</v>
      </c>
      <c r="F240" s="50">
        <v>0</v>
      </c>
      <c r="G240" s="50">
        <v>0</v>
      </c>
      <c r="H240" s="45" t="s">
        <v>937</v>
      </c>
    </row>
    <row r="241" spans="1:8" ht="15">
      <c r="A241" s="45" t="s">
        <v>938</v>
      </c>
      <c r="B241" s="50">
        <v>0</v>
      </c>
      <c r="C241" s="50">
        <v>0</v>
      </c>
      <c r="D241" s="50">
        <v>3305394020</v>
      </c>
      <c r="E241" s="50">
        <v>3305394020</v>
      </c>
      <c r="F241" s="50">
        <v>0</v>
      </c>
      <c r="G241" s="50">
        <v>0</v>
      </c>
      <c r="H241" s="45" t="s">
        <v>939</v>
      </c>
    </row>
    <row r="242" spans="1:8" ht="15">
      <c r="A242" s="45" t="s">
        <v>940</v>
      </c>
      <c r="B242" s="50">
        <v>0</v>
      </c>
      <c r="C242" s="50">
        <v>0</v>
      </c>
      <c r="D242" s="50">
        <v>16872391991</v>
      </c>
      <c r="E242" s="50">
        <v>16872391991</v>
      </c>
      <c r="F242" s="50">
        <v>0</v>
      </c>
      <c r="G242" s="50">
        <v>0</v>
      </c>
      <c r="H242" s="45" t="s">
        <v>941</v>
      </c>
    </row>
    <row r="243" spans="1:8" ht="15">
      <c r="A243" s="45" t="s">
        <v>942</v>
      </c>
      <c r="B243" s="50">
        <v>0</v>
      </c>
      <c r="C243" s="50">
        <v>0</v>
      </c>
      <c r="D243" s="50">
        <v>288002728</v>
      </c>
      <c r="E243" s="50">
        <v>288002728</v>
      </c>
      <c r="F243" s="50">
        <v>0</v>
      </c>
      <c r="G243" s="50">
        <v>0</v>
      </c>
      <c r="H243" s="45" t="s">
        <v>943</v>
      </c>
    </row>
    <row r="244" spans="1:8" ht="15">
      <c r="A244" s="45" t="s">
        <v>944</v>
      </c>
      <c r="B244" s="50">
        <v>0</v>
      </c>
      <c r="C244" s="50">
        <v>0</v>
      </c>
      <c r="D244" s="50">
        <v>4251427</v>
      </c>
      <c r="E244" s="50">
        <v>4251427</v>
      </c>
      <c r="F244" s="50">
        <v>0</v>
      </c>
      <c r="G244" s="50">
        <v>0</v>
      </c>
      <c r="H244" s="45" t="s">
        <v>945</v>
      </c>
    </row>
    <row r="245" spans="1:8" ht="15">
      <c r="A245" s="45" t="s">
        <v>946</v>
      </c>
      <c r="B245" s="50">
        <v>0</v>
      </c>
      <c r="C245" s="50">
        <v>0</v>
      </c>
      <c r="D245" s="50">
        <v>4282230331</v>
      </c>
      <c r="E245" s="50">
        <v>4282230331</v>
      </c>
      <c r="F245" s="50">
        <v>0</v>
      </c>
      <c r="G245" s="50">
        <v>0</v>
      </c>
      <c r="H245" s="45" t="s">
        <v>947</v>
      </c>
    </row>
    <row r="246" spans="1:8" ht="15">
      <c r="A246" s="45" t="s">
        <v>948</v>
      </c>
      <c r="B246" s="50">
        <v>0</v>
      </c>
      <c r="C246" s="50">
        <v>0</v>
      </c>
      <c r="D246" s="50">
        <v>97314332</v>
      </c>
      <c r="E246" s="50">
        <v>97314332</v>
      </c>
      <c r="F246" s="50">
        <v>0</v>
      </c>
      <c r="G246" s="50">
        <v>0</v>
      </c>
      <c r="H246" s="45" t="s">
        <v>949</v>
      </c>
    </row>
    <row r="247" spans="1:8" ht="15">
      <c r="A247" s="45" t="s">
        <v>950</v>
      </c>
      <c r="B247" s="50">
        <v>0</v>
      </c>
      <c r="C247" s="50">
        <v>0</v>
      </c>
      <c r="D247" s="50">
        <v>135775722</v>
      </c>
      <c r="E247" s="50">
        <v>135775722</v>
      </c>
      <c r="F247" s="50">
        <v>0</v>
      </c>
      <c r="G247" s="50">
        <v>0</v>
      </c>
      <c r="H247" s="45" t="s">
        <v>951</v>
      </c>
    </row>
    <row r="248" spans="1:8" ht="15">
      <c r="A248" s="45" t="s">
        <v>952</v>
      </c>
      <c r="B248" s="50">
        <v>0</v>
      </c>
      <c r="C248" s="50">
        <v>0</v>
      </c>
      <c r="D248" s="50">
        <v>135775722</v>
      </c>
      <c r="E248" s="50">
        <v>135775722</v>
      </c>
      <c r="F248" s="50">
        <v>0</v>
      </c>
      <c r="G248" s="50">
        <v>0</v>
      </c>
      <c r="H248" s="45" t="s">
        <v>953</v>
      </c>
    </row>
    <row r="249" spans="1:8" ht="15">
      <c r="A249" s="45" t="s">
        <v>954</v>
      </c>
      <c r="B249" s="50">
        <v>0</v>
      </c>
      <c r="C249" s="50">
        <v>0</v>
      </c>
      <c r="D249" s="50">
        <v>135204315</v>
      </c>
      <c r="E249" s="50">
        <v>135204315</v>
      </c>
      <c r="F249" s="50">
        <v>0</v>
      </c>
      <c r="G249" s="50">
        <v>0</v>
      </c>
      <c r="H249" s="45" t="s">
        <v>955</v>
      </c>
    </row>
    <row r="250" spans="1:8" ht="15">
      <c r="A250" s="45" t="s">
        <v>956</v>
      </c>
      <c r="B250" s="50">
        <v>0</v>
      </c>
      <c r="C250" s="50">
        <v>0</v>
      </c>
      <c r="D250" s="50">
        <v>124490040</v>
      </c>
      <c r="E250" s="50">
        <v>124490040</v>
      </c>
      <c r="F250" s="50">
        <v>0</v>
      </c>
      <c r="G250" s="50">
        <v>0</v>
      </c>
      <c r="H250" s="45" t="s">
        <v>957</v>
      </c>
    </row>
    <row r="251" spans="1:8" ht="15">
      <c r="A251" s="45" t="s">
        <v>958</v>
      </c>
      <c r="B251" s="50">
        <v>0</v>
      </c>
      <c r="C251" s="50">
        <v>0</v>
      </c>
      <c r="D251" s="50">
        <v>124490040</v>
      </c>
      <c r="E251" s="50">
        <v>124490040</v>
      </c>
      <c r="F251" s="50">
        <v>0</v>
      </c>
      <c r="G251" s="50">
        <v>0</v>
      </c>
      <c r="H251" s="45" t="s">
        <v>959</v>
      </c>
    </row>
    <row r="252" spans="1:8" ht="15">
      <c r="A252" s="45" t="s">
        <v>960</v>
      </c>
      <c r="B252" s="50">
        <v>0</v>
      </c>
      <c r="C252" s="50">
        <v>0</v>
      </c>
      <c r="D252" s="50">
        <v>10714275</v>
      </c>
      <c r="E252" s="50">
        <v>10714275</v>
      </c>
      <c r="F252" s="50">
        <v>0</v>
      </c>
      <c r="G252" s="50">
        <v>0</v>
      </c>
      <c r="H252" s="45" t="s">
        <v>961</v>
      </c>
    </row>
    <row r="253" spans="1:8" ht="15">
      <c r="A253" s="45" t="s">
        <v>962</v>
      </c>
      <c r="B253" s="50">
        <v>0</v>
      </c>
      <c r="C253" s="50">
        <v>0</v>
      </c>
      <c r="D253" s="50">
        <v>10714275</v>
      </c>
      <c r="E253" s="50">
        <v>10714275</v>
      </c>
      <c r="F253" s="50">
        <v>0</v>
      </c>
      <c r="G253" s="50">
        <v>0</v>
      </c>
      <c r="H253" s="45" t="s">
        <v>963</v>
      </c>
    </row>
    <row r="254" spans="1:8" ht="15">
      <c r="A254" s="45" t="s">
        <v>964</v>
      </c>
      <c r="B254" s="50">
        <v>0</v>
      </c>
      <c r="C254" s="50">
        <v>0</v>
      </c>
      <c r="D254" s="50">
        <v>578568243</v>
      </c>
      <c r="E254" s="50">
        <v>578568243</v>
      </c>
      <c r="F254" s="50">
        <v>0</v>
      </c>
      <c r="G254" s="50">
        <v>0</v>
      </c>
      <c r="H254" s="45" t="s">
        <v>965</v>
      </c>
    </row>
    <row r="255" spans="1:8" ht="15">
      <c r="A255" s="45" t="s">
        <v>966</v>
      </c>
      <c r="B255" s="50">
        <v>0</v>
      </c>
      <c r="C255" s="50">
        <v>0</v>
      </c>
      <c r="D255" s="50">
        <v>578568243</v>
      </c>
      <c r="E255" s="50">
        <v>578568243</v>
      </c>
      <c r="F255" s="50">
        <v>0</v>
      </c>
      <c r="G255" s="50">
        <v>0</v>
      </c>
      <c r="H255" s="45" t="s">
        <v>967</v>
      </c>
    </row>
    <row r="256" spans="1:8" ht="15">
      <c r="A256" s="45" t="s">
        <v>968</v>
      </c>
      <c r="B256" s="50">
        <v>0</v>
      </c>
      <c r="C256" s="50">
        <v>0</v>
      </c>
      <c r="D256" s="50">
        <v>578568243</v>
      </c>
      <c r="E256" s="50">
        <v>578568243</v>
      </c>
      <c r="F256" s="50">
        <v>0</v>
      </c>
      <c r="G256" s="50">
        <v>0</v>
      </c>
      <c r="H256" s="45" t="s">
        <v>969</v>
      </c>
    </row>
    <row r="257" spans="1:8" ht="15">
      <c r="A257" s="45" t="s">
        <v>970</v>
      </c>
      <c r="B257" s="50">
        <v>0</v>
      </c>
      <c r="C257" s="50">
        <v>0</v>
      </c>
      <c r="D257" s="50">
        <v>1116824267</v>
      </c>
      <c r="E257" s="50">
        <v>1116824267</v>
      </c>
      <c r="F257" s="50">
        <v>0</v>
      </c>
      <c r="G257" s="50">
        <v>0</v>
      </c>
      <c r="H257" s="45" t="s">
        <v>1219</v>
      </c>
    </row>
    <row r="258" spans="1:8" ht="15">
      <c r="A258" s="45" t="s">
        <v>1220</v>
      </c>
      <c r="B258" s="50">
        <v>0</v>
      </c>
      <c r="C258" s="50">
        <v>0</v>
      </c>
      <c r="D258" s="50">
        <v>1116824267</v>
      </c>
      <c r="E258" s="50">
        <v>1116824267</v>
      </c>
      <c r="F258" s="50">
        <v>0</v>
      </c>
      <c r="G258" s="50">
        <v>0</v>
      </c>
      <c r="H258" s="45" t="s">
        <v>585</v>
      </c>
    </row>
    <row r="259" spans="1:8" ht="15">
      <c r="A259" s="45" t="s">
        <v>586</v>
      </c>
      <c r="B259" s="50">
        <v>0</v>
      </c>
      <c r="C259" s="50">
        <v>0</v>
      </c>
      <c r="D259" s="50">
        <v>1116824267</v>
      </c>
      <c r="E259" s="50">
        <v>1116824267</v>
      </c>
      <c r="F259" s="50">
        <v>0</v>
      </c>
      <c r="G259" s="50">
        <v>0</v>
      </c>
      <c r="H259" s="45" t="s">
        <v>587</v>
      </c>
    </row>
    <row r="260" spans="1:8" ht="15">
      <c r="A260" s="45" t="s">
        <v>588</v>
      </c>
      <c r="B260" s="50">
        <v>0</v>
      </c>
      <c r="C260" s="50">
        <v>0</v>
      </c>
      <c r="D260" s="50">
        <v>1422979143</v>
      </c>
      <c r="E260" s="50">
        <v>1422979143</v>
      </c>
      <c r="F260" s="50">
        <v>0</v>
      </c>
      <c r="G260" s="50">
        <v>0</v>
      </c>
      <c r="H260" s="45" t="s">
        <v>589</v>
      </c>
    </row>
    <row r="261" spans="1:8" ht="15">
      <c r="A261" s="45" t="s">
        <v>590</v>
      </c>
      <c r="B261" s="50">
        <v>0</v>
      </c>
      <c r="C261" s="50">
        <v>0</v>
      </c>
      <c r="D261" s="50">
        <v>1800000</v>
      </c>
      <c r="E261" s="50">
        <v>1800000</v>
      </c>
      <c r="F261" s="50">
        <v>0</v>
      </c>
      <c r="G261" s="50">
        <v>0</v>
      </c>
      <c r="H261" s="45" t="s">
        <v>591</v>
      </c>
    </row>
    <row r="262" spans="1:8" ht="15">
      <c r="A262" s="45" t="s">
        <v>592</v>
      </c>
      <c r="B262" s="50">
        <v>0</v>
      </c>
      <c r="C262" s="50">
        <v>0</v>
      </c>
      <c r="D262" s="50">
        <v>1800000</v>
      </c>
      <c r="E262" s="50">
        <v>1800000</v>
      </c>
      <c r="F262" s="50">
        <v>0</v>
      </c>
      <c r="G262" s="50">
        <v>0</v>
      </c>
      <c r="H262" s="45" t="s">
        <v>593</v>
      </c>
    </row>
    <row r="263" spans="1:8" ht="15">
      <c r="A263" s="45" t="s">
        <v>594</v>
      </c>
      <c r="B263" s="50">
        <v>0</v>
      </c>
      <c r="C263" s="50">
        <v>0</v>
      </c>
      <c r="D263" s="50">
        <v>1543364</v>
      </c>
      <c r="E263" s="50">
        <v>1543364</v>
      </c>
      <c r="F263" s="50">
        <v>0</v>
      </c>
      <c r="G263" s="50">
        <v>0</v>
      </c>
      <c r="H263" s="45" t="s">
        <v>595</v>
      </c>
    </row>
    <row r="264" spans="1:8" ht="15">
      <c r="A264" s="45" t="s">
        <v>596</v>
      </c>
      <c r="B264" s="50">
        <v>0</v>
      </c>
      <c r="C264" s="50">
        <v>0</v>
      </c>
      <c r="D264" s="50">
        <v>1543364</v>
      </c>
      <c r="E264" s="50">
        <v>1543364</v>
      </c>
      <c r="F264" s="50">
        <v>0</v>
      </c>
      <c r="G264" s="50">
        <v>0</v>
      </c>
      <c r="H264" s="45" t="s">
        <v>597</v>
      </c>
    </row>
    <row r="265" spans="1:8" ht="15">
      <c r="A265" s="45" t="s">
        <v>598</v>
      </c>
      <c r="B265" s="50">
        <v>0</v>
      </c>
      <c r="C265" s="50">
        <v>0</v>
      </c>
      <c r="D265" s="50">
        <v>137835191</v>
      </c>
      <c r="E265" s="50">
        <v>137835191</v>
      </c>
      <c r="F265" s="50">
        <v>0</v>
      </c>
      <c r="G265" s="50">
        <v>0</v>
      </c>
      <c r="H265" s="45" t="s">
        <v>599</v>
      </c>
    </row>
    <row r="266" spans="1:8" ht="15">
      <c r="A266" s="45" t="s">
        <v>600</v>
      </c>
      <c r="B266" s="50">
        <v>0</v>
      </c>
      <c r="C266" s="50">
        <v>0</v>
      </c>
      <c r="D266" s="50">
        <v>137835191</v>
      </c>
      <c r="E266" s="50">
        <v>137835191</v>
      </c>
      <c r="F266" s="50">
        <v>0</v>
      </c>
      <c r="G266" s="50">
        <v>0</v>
      </c>
      <c r="H266" s="45" t="s">
        <v>601</v>
      </c>
    </row>
    <row r="267" spans="1:8" ht="15">
      <c r="A267" s="45" t="s">
        <v>602</v>
      </c>
      <c r="B267" s="50">
        <v>0</v>
      </c>
      <c r="C267" s="50">
        <v>0</v>
      </c>
      <c r="D267" s="50">
        <v>843695238</v>
      </c>
      <c r="E267" s="50">
        <v>843695238</v>
      </c>
      <c r="F267" s="50">
        <v>0</v>
      </c>
      <c r="G267" s="50">
        <v>0</v>
      </c>
      <c r="H267" s="45" t="s">
        <v>603</v>
      </c>
    </row>
    <row r="268" spans="1:8" ht="15">
      <c r="A268" s="45" t="s">
        <v>604</v>
      </c>
      <c r="B268" s="50">
        <v>0</v>
      </c>
      <c r="C268" s="50">
        <v>0</v>
      </c>
      <c r="D268" s="50">
        <v>567165420</v>
      </c>
      <c r="E268" s="50">
        <v>567165420</v>
      </c>
      <c r="F268" s="50">
        <v>0</v>
      </c>
      <c r="G268" s="50">
        <v>0</v>
      </c>
      <c r="H268" s="45" t="s">
        <v>605</v>
      </c>
    </row>
    <row r="269" spans="1:8" ht="15">
      <c r="A269" s="45" t="s">
        <v>606</v>
      </c>
      <c r="B269" s="50">
        <v>0</v>
      </c>
      <c r="C269" s="50">
        <v>0</v>
      </c>
      <c r="D269" s="50">
        <v>276529818</v>
      </c>
      <c r="E269" s="50">
        <v>276529818</v>
      </c>
      <c r="F269" s="50">
        <v>0</v>
      </c>
      <c r="G269" s="50">
        <v>0</v>
      </c>
      <c r="H269" s="45" t="s">
        <v>607</v>
      </c>
    </row>
    <row r="270" spans="1:8" ht="15">
      <c r="A270" s="45" t="s">
        <v>608</v>
      </c>
      <c r="B270" s="50">
        <v>0</v>
      </c>
      <c r="C270" s="50">
        <v>0</v>
      </c>
      <c r="D270" s="50">
        <v>143797833</v>
      </c>
      <c r="E270" s="50">
        <v>143797833</v>
      </c>
      <c r="F270" s="50">
        <v>0</v>
      </c>
      <c r="G270" s="50">
        <v>0</v>
      </c>
      <c r="H270" s="45" t="s">
        <v>609</v>
      </c>
    </row>
    <row r="271" spans="1:8" ht="15">
      <c r="A271" s="45" t="s">
        <v>610</v>
      </c>
      <c r="B271" s="50">
        <v>0</v>
      </c>
      <c r="C271" s="50">
        <v>0</v>
      </c>
      <c r="D271" s="50">
        <v>143797833</v>
      </c>
      <c r="E271" s="50">
        <v>143797833</v>
      </c>
      <c r="F271" s="50">
        <v>0</v>
      </c>
      <c r="G271" s="50">
        <v>0</v>
      </c>
      <c r="H271" s="45" t="s">
        <v>611</v>
      </c>
    </row>
    <row r="272" spans="1:8" ht="15">
      <c r="A272" s="45" t="s">
        <v>612</v>
      </c>
      <c r="B272" s="50">
        <v>0</v>
      </c>
      <c r="C272" s="50">
        <v>0</v>
      </c>
      <c r="D272" s="50">
        <v>294307517</v>
      </c>
      <c r="E272" s="50">
        <v>294307517</v>
      </c>
      <c r="F272" s="50">
        <v>0</v>
      </c>
      <c r="G272" s="50">
        <v>0</v>
      </c>
      <c r="H272" s="45" t="s">
        <v>613</v>
      </c>
    </row>
    <row r="273" spans="1:8" ht="15">
      <c r="A273" s="45" t="s">
        <v>614</v>
      </c>
      <c r="B273" s="50">
        <v>0</v>
      </c>
      <c r="C273" s="50">
        <v>0</v>
      </c>
      <c r="D273" s="50">
        <v>294307517</v>
      </c>
      <c r="E273" s="50">
        <v>294307517</v>
      </c>
      <c r="F273" s="50">
        <v>0</v>
      </c>
      <c r="G273" s="50">
        <v>0</v>
      </c>
      <c r="H273" s="45" t="s">
        <v>615</v>
      </c>
    </row>
    <row r="274" spans="1:8" ht="15">
      <c r="A274" s="45" t="s">
        <v>616</v>
      </c>
      <c r="B274" s="50">
        <v>0</v>
      </c>
      <c r="C274" s="50">
        <v>0</v>
      </c>
      <c r="D274" s="50">
        <v>31987952752</v>
      </c>
      <c r="E274" s="50">
        <v>31987952752</v>
      </c>
      <c r="F274" s="50">
        <v>0</v>
      </c>
      <c r="G274" s="50">
        <v>0</v>
      </c>
      <c r="H274" s="45" t="s">
        <v>617</v>
      </c>
    </row>
    <row r="275" spans="1:8" ht="15">
      <c r="A275" s="45" t="s">
        <v>618</v>
      </c>
      <c r="B275" s="50">
        <v>0</v>
      </c>
      <c r="C275" s="50">
        <v>0</v>
      </c>
      <c r="D275" s="50">
        <v>31987952752</v>
      </c>
      <c r="E275" s="50">
        <v>31987952752</v>
      </c>
      <c r="F275" s="50">
        <v>0</v>
      </c>
      <c r="G275" s="50">
        <v>0</v>
      </c>
      <c r="H275" s="45" t="s">
        <v>619</v>
      </c>
    </row>
    <row r="276" spans="1:8" ht="15">
      <c r="A276" s="45" t="s">
        <v>620</v>
      </c>
      <c r="B276" s="50">
        <v>0</v>
      </c>
      <c r="C276" s="50">
        <v>0</v>
      </c>
      <c r="D276" s="50">
        <v>25980659911</v>
      </c>
      <c r="E276" s="50">
        <v>25980659911</v>
      </c>
      <c r="F276" s="50">
        <v>0</v>
      </c>
      <c r="G276" s="50">
        <v>0</v>
      </c>
      <c r="H276" s="45" t="s">
        <v>619</v>
      </c>
    </row>
    <row r="277" spans="1:8" ht="15">
      <c r="A277" s="45" t="s">
        <v>621</v>
      </c>
      <c r="B277" s="50">
        <v>0</v>
      </c>
      <c r="C277" s="50">
        <v>0</v>
      </c>
      <c r="D277" s="50">
        <v>8730921654</v>
      </c>
      <c r="E277" s="50">
        <v>8730921654</v>
      </c>
      <c r="F277" s="50">
        <v>0</v>
      </c>
      <c r="G277" s="50">
        <v>0</v>
      </c>
      <c r="H277" s="45" t="s">
        <v>622</v>
      </c>
    </row>
    <row r="278" spans="1:8" ht="15">
      <c r="A278" s="45" t="s">
        <v>623</v>
      </c>
      <c r="B278" s="50">
        <v>0</v>
      </c>
      <c r="C278" s="50">
        <v>0</v>
      </c>
      <c r="D278" s="50">
        <v>2848117143</v>
      </c>
      <c r="E278" s="50">
        <v>2848117143</v>
      </c>
      <c r="F278" s="50">
        <v>0</v>
      </c>
      <c r="G278" s="50">
        <v>0</v>
      </c>
      <c r="H278" s="45" t="s">
        <v>624</v>
      </c>
    </row>
    <row r="279" spans="1:8" ht="15">
      <c r="A279" s="45" t="s">
        <v>625</v>
      </c>
      <c r="B279" s="50">
        <v>0</v>
      </c>
      <c r="C279" s="50">
        <v>0</v>
      </c>
      <c r="D279" s="50">
        <v>14398311765</v>
      </c>
      <c r="E279" s="50">
        <v>14398311765</v>
      </c>
      <c r="F279" s="50">
        <v>0</v>
      </c>
      <c r="G279" s="50">
        <v>0</v>
      </c>
      <c r="H279" s="45" t="s">
        <v>626</v>
      </c>
    </row>
    <row r="280" spans="1:8" ht="15">
      <c r="A280" s="45" t="s">
        <v>627</v>
      </c>
      <c r="B280" s="50">
        <v>0</v>
      </c>
      <c r="C280" s="50">
        <v>0</v>
      </c>
      <c r="D280" s="50">
        <v>3309349</v>
      </c>
      <c r="E280" s="50">
        <v>3309349</v>
      </c>
      <c r="F280" s="50">
        <v>0</v>
      </c>
      <c r="G280" s="50">
        <v>0</v>
      </c>
      <c r="H280" s="45" t="s">
        <v>628</v>
      </c>
    </row>
    <row r="281" spans="1:8" ht="15">
      <c r="A281" s="45" t="s">
        <v>629</v>
      </c>
      <c r="B281" s="50">
        <v>0</v>
      </c>
      <c r="C281" s="50">
        <v>0</v>
      </c>
      <c r="D281" s="50">
        <v>6007292841</v>
      </c>
      <c r="E281" s="50">
        <v>6007292841</v>
      </c>
      <c r="F281" s="50">
        <v>0</v>
      </c>
      <c r="G281" s="50">
        <v>0</v>
      </c>
      <c r="H281" s="45" t="s">
        <v>630</v>
      </c>
    </row>
    <row r="282" spans="1:8" ht="15">
      <c r="A282" s="45" t="s">
        <v>631</v>
      </c>
      <c r="B282" s="50">
        <v>0</v>
      </c>
      <c r="C282" s="50">
        <v>0</v>
      </c>
      <c r="D282" s="50">
        <v>2841841835</v>
      </c>
      <c r="E282" s="50">
        <v>2841841835</v>
      </c>
      <c r="F282" s="50">
        <v>0</v>
      </c>
      <c r="G282" s="50">
        <v>0</v>
      </c>
      <c r="H282" s="45" t="s">
        <v>632</v>
      </c>
    </row>
    <row r="283" spans="1:8" ht="15">
      <c r="A283" s="45" t="s">
        <v>633</v>
      </c>
      <c r="B283" s="50">
        <v>0</v>
      </c>
      <c r="C283" s="50">
        <v>0</v>
      </c>
      <c r="D283" s="50">
        <v>3165451006</v>
      </c>
      <c r="E283" s="50">
        <v>3165451006</v>
      </c>
      <c r="F283" s="50">
        <v>0</v>
      </c>
      <c r="G283" s="50">
        <v>0</v>
      </c>
      <c r="H283" s="45" t="s">
        <v>634</v>
      </c>
    </row>
    <row r="284" spans="1:8" ht="15">
      <c r="A284" s="45" t="s">
        <v>635</v>
      </c>
      <c r="B284" s="50">
        <v>0</v>
      </c>
      <c r="C284" s="50">
        <v>0</v>
      </c>
      <c r="D284" s="50">
        <v>407751634</v>
      </c>
      <c r="E284" s="50">
        <v>407751634</v>
      </c>
      <c r="F284" s="50">
        <v>0</v>
      </c>
      <c r="G284" s="50">
        <v>0</v>
      </c>
      <c r="H284" s="45" t="s">
        <v>636</v>
      </c>
    </row>
    <row r="285" spans="1:8" ht="15">
      <c r="A285" s="45" t="s">
        <v>637</v>
      </c>
      <c r="B285" s="50">
        <v>0</v>
      </c>
      <c r="C285" s="50">
        <v>0</v>
      </c>
      <c r="D285" s="50">
        <v>407751634</v>
      </c>
      <c r="E285" s="50">
        <v>407751634</v>
      </c>
      <c r="F285" s="50">
        <v>0</v>
      </c>
      <c r="G285" s="50">
        <v>0</v>
      </c>
      <c r="H285" s="45" t="s">
        <v>638</v>
      </c>
    </row>
    <row r="286" spans="1:8" ht="15">
      <c r="A286" s="45" t="s">
        <v>639</v>
      </c>
      <c r="B286" s="50">
        <v>0</v>
      </c>
      <c r="C286" s="50">
        <v>0</v>
      </c>
      <c r="D286" s="50">
        <v>5188435171</v>
      </c>
      <c r="E286" s="50">
        <v>5188435171</v>
      </c>
      <c r="F286" s="50">
        <v>0</v>
      </c>
      <c r="G286" s="50">
        <v>0</v>
      </c>
      <c r="H286" s="45" t="s">
        <v>640</v>
      </c>
    </row>
    <row r="287" spans="1:8" ht="15">
      <c r="A287" s="45" t="s">
        <v>641</v>
      </c>
      <c r="B287" s="50">
        <v>0</v>
      </c>
      <c r="C287" s="50">
        <v>0</v>
      </c>
      <c r="D287" s="50">
        <v>742942194</v>
      </c>
      <c r="E287" s="50">
        <v>742942194</v>
      </c>
      <c r="F287" s="50">
        <v>0</v>
      </c>
      <c r="G287" s="50">
        <v>0</v>
      </c>
      <c r="H287" s="45" t="s">
        <v>642</v>
      </c>
    </row>
    <row r="288" spans="1:8" ht="15">
      <c r="A288" s="45" t="s">
        <v>643</v>
      </c>
      <c r="B288" s="50">
        <v>0</v>
      </c>
      <c r="C288" s="50">
        <v>0</v>
      </c>
      <c r="D288" s="50">
        <v>742942194</v>
      </c>
      <c r="E288" s="50">
        <v>742942194</v>
      </c>
      <c r="F288" s="50">
        <v>0</v>
      </c>
      <c r="G288" s="50">
        <v>0</v>
      </c>
      <c r="H288" s="45" t="s">
        <v>644</v>
      </c>
    </row>
    <row r="289" spans="1:8" ht="15">
      <c r="A289" s="45" t="s">
        <v>1223</v>
      </c>
      <c r="B289" s="50">
        <v>0</v>
      </c>
      <c r="C289" s="50">
        <v>0</v>
      </c>
      <c r="D289" s="50">
        <v>98956856</v>
      </c>
      <c r="E289" s="50">
        <v>98956856</v>
      </c>
      <c r="F289" s="50">
        <v>0</v>
      </c>
      <c r="G289" s="50">
        <v>0</v>
      </c>
      <c r="H289" s="45" t="s">
        <v>1224</v>
      </c>
    </row>
    <row r="290" spans="1:8" ht="15">
      <c r="A290" s="45" t="s">
        <v>1225</v>
      </c>
      <c r="B290" s="50">
        <v>0</v>
      </c>
      <c r="C290" s="50">
        <v>0</v>
      </c>
      <c r="D290" s="50">
        <v>61807695</v>
      </c>
      <c r="E290" s="50">
        <v>61807695</v>
      </c>
      <c r="F290" s="50">
        <v>0</v>
      </c>
      <c r="G290" s="50">
        <v>0</v>
      </c>
      <c r="H290" s="45" t="s">
        <v>1226</v>
      </c>
    </row>
    <row r="291" spans="1:8" ht="15">
      <c r="A291" s="45" t="s">
        <v>1227</v>
      </c>
      <c r="B291" s="50">
        <v>0</v>
      </c>
      <c r="C291" s="50">
        <v>0</v>
      </c>
      <c r="D291" s="50">
        <v>142857</v>
      </c>
      <c r="E291" s="50">
        <v>142857</v>
      </c>
      <c r="F291" s="50">
        <v>0</v>
      </c>
      <c r="G291" s="50">
        <v>0</v>
      </c>
      <c r="H291" s="45" t="s">
        <v>1228</v>
      </c>
    </row>
    <row r="292" spans="1:8" ht="15">
      <c r="A292" s="45" t="s">
        <v>1229</v>
      </c>
      <c r="B292" s="50">
        <v>0</v>
      </c>
      <c r="C292" s="50">
        <v>0</v>
      </c>
      <c r="D292" s="50">
        <v>365486339</v>
      </c>
      <c r="E292" s="50">
        <v>365486339</v>
      </c>
      <c r="F292" s="50">
        <v>0</v>
      </c>
      <c r="G292" s="50">
        <v>0</v>
      </c>
      <c r="H292" s="45" t="s">
        <v>1230</v>
      </c>
    </row>
    <row r="293" spans="1:8" ht="15">
      <c r="A293" s="45" t="s">
        <v>1231</v>
      </c>
      <c r="B293" s="50">
        <v>0</v>
      </c>
      <c r="C293" s="50">
        <v>0</v>
      </c>
      <c r="D293" s="50">
        <v>171956411</v>
      </c>
      <c r="E293" s="50">
        <v>171956411</v>
      </c>
      <c r="F293" s="50">
        <v>0</v>
      </c>
      <c r="G293" s="50">
        <v>0</v>
      </c>
      <c r="H293" s="45" t="s">
        <v>1232</v>
      </c>
    </row>
    <row r="294" spans="1:8" ht="15">
      <c r="A294" s="45" t="s">
        <v>1233</v>
      </c>
      <c r="B294" s="50">
        <v>0</v>
      </c>
      <c r="C294" s="50">
        <v>0</v>
      </c>
      <c r="D294" s="50">
        <v>44592036</v>
      </c>
      <c r="E294" s="50">
        <v>44592036</v>
      </c>
      <c r="F294" s="50">
        <v>0</v>
      </c>
      <c r="G294" s="50">
        <v>0</v>
      </c>
      <c r="H294" s="45" t="s">
        <v>1234</v>
      </c>
    </row>
    <row r="295" spans="1:8" ht="15">
      <c r="A295" s="45" t="s">
        <v>1235</v>
      </c>
      <c r="B295" s="50">
        <v>0</v>
      </c>
      <c r="C295" s="50">
        <v>0</v>
      </c>
      <c r="D295" s="50">
        <v>25396824</v>
      </c>
      <c r="E295" s="50">
        <v>25396824</v>
      </c>
      <c r="F295" s="50">
        <v>0</v>
      </c>
      <c r="G295" s="50">
        <v>0</v>
      </c>
      <c r="H295" s="45" t="s">
        <v>1236</v>
      </c>
    </row>
    <row r="296" spans="1:8" ht="15">
      <c r="A296" s="45" t="s">
        <v>1237</v>
      </c>
      <c r="B296" s="50">
        <v>0</v>
      </c>
      <c r="C296" s="50">
        <v>0</v>
      </c>
      <c r="D296" s="50">
        <v>25396824</v>
      </c>
      <c r="E296" s="50">
        <v>25396824</v>
      </c>
      <c r="F296" s="50">
        <v>0</v>
      </c>
      <c r="G296" s="50">
        <v>0</v>
      </c>
      <c r="H296" s="45" t="s">
        <v>1238</v>
      </c>
    </row>
    <row r="297" spans="1:8" ht="15">
      <c r="A297" s="45" t="s">
        <v>1239</v>
      </c>
      <c r="B297" s="50">
        <v>0</v>
      </c>
      <c r="C297" s="50">
        <v>0</v>
      </c>
      <c r="D297" s="50">
        <v>4119597201</v>
      </c>
      <c r="E297" s="50">
        <v>4119597201</v>
      </c>
      <c r="F297" s="50">
        <v>0</v>
      </c>
      <c r="G297" s="50">
        <v>0</v>
      </c>
      <c r="H297" s="45" t="s">
        <v>1240</v>
      </c>
    </row>
    <row r="298" spans="1:8" ht="15">
      <c r="A298" s="45" t="s">
        <v>1241</v>
      </c>
      <c r="B298" s="50">
        <v>0</v>
      </c>
      <c r="C298" s="50">
        <v>0</v>
      </c>
      <c r="D298" s="50">
        <v>4119597201</v>
      </c>
      <c r="E298" s="50">
        <v>4119597201</v>
      </c>
      <c r="F298" s="50">
        <v>0</v>
      </c>
      <c r="G298" s="50">
        <v>0</v>
      </c>
      <c r="H298" s="45" t="s">
        <v>1242</v>
      </c>
    </row>
    <row r="299" spans="1:8" ht="15">
      <c r="A299" s="45" t="s">
        <v>1243</v>
      </c>
      <c r="B299" s="50">
        <v>0</v>
      </c>
      <c r="C299" s="50">
        <v>0</v>
      </c>
      <c r="D299" s="50">
        <v>233903758</v>
      </c>
      <c r="E299" s="50">
        <v>233903758</v>
      </c>
      <c r="F299" s="50">
        <v>0</v>
      </c>
      <c r="G299" s="50">
        <v>0</v>
      </c>
      <c r="H299" s="45" t="s">
        <v>1244</v>
      </c>
    </row>
    <row r="300" spans="1:8" ht="15">
      <c r="A300" s="45" t="s">
        <v>1245</v>
      </c>
      <c r="B300" s="50">
        <v>0</v>
      </c>
      <c r="C300" s="50">
        <v>0</v>
      </c>
      <c r="D300" s="50">
        <v>1787417862</v>
      </c>
      <c r="E300" s="50">
        <v>1787417862</v>
      </c>
      <c r="F300" s="50">
        <v>0</v>
      </c>
      <c r="G300" s="50">
        <v>0</v>
      </c>
      <c r="H300" s="45" t="s">
        <v>1246</v>
      </c>
    </row>
    <row r="301" spans="1:8" ht="15">
      <c r="A301" s="45" t="s">
        <v>1247</v>
      </c>
      <c r="B301" s="50">
        <v>0</v>
      </c>
      <c r="C301" s="50">
        <v>0</v>
      </c>
      <c r="D301" s="50">
        <v>28845238</v>
      </c>
      <c r="E301" s="50">
        <v>28845238</v>
      </c>
      <c r="F301" s="50">
        <v>0</v>
      </c>
      <c r="G301" s="50">
        <v>0</v>
      </c>
      <c r="H301" s="45" t="s">
        <v>1248</v>
      </c>
    </row>
    <row r="302" spans="1:8" ht="15">
      <c r="A302" s="45" t="s">
        <v>1249</v>
      </c>
      <c r="B302" s="50">
        <v>0</v>
      </c>
      <c r="C302" s="50">
        <v>0</v>
      </c>
      <c r="D302" s="50">
        <v>1044323686</v>
      </c>
      <c r="E302" s="50">
        <v>1044323686</v>
      </c>
      <c r="F302" s="50">
        <v>0</v>
      </c>
      <c r="G302" s="50">
        <v>0</v>
      </c>
      <c r="H302" s="45" t="s">
        <v>1250</v>
      </c>
    </row>
    <row r="303" spans="1:8" ht="15">
      <c r="A303" s="45" t="s">
        <v>1251</v>
      </c>
      <c r="B303" s="50">
        <v>0</v>
      </c>
      <c r="C303" s="50">
        <v>0</v>
      </c>
      <c r="D303" s="50">
        <v>140996000</v>
      </c>
      <c r="E303" s="50">
        <v>140996000</v>
      </c>
      <c r="F303" s="50">
        <v>0</v>
      </c>
      <c r="G303" s="50">
        <v>0</v>
      </c>
      <c r="H303" s="45" t="s">
        <v>1252</v>
      </c>
    </row>
    <row r="304" spans="1:8" ht="15">
      <c r="A304" s="45" t="s">
        <v>1253</v>
      </c>
      <c r="B304" s="50">
        <v>0</v>
      </c>
      <c r="C304" s="50">
        <v>0</v>
      </c>
      <c r="D304" s="50">
        <v>591387501</v>
      </c>
      <c r="E304" s="50">
        <v>591387501</v>
      </c>
      <c r="F304" s="50">
        <v>0</v>
      </c>
      <c r="G304" s="50">
        <v>0</v>
      </c>
      <c r="H304" s="45" t="s">
        <v>1254</v>
      </c>
    </row>
    <row r="305" spans="1:8" ht="15">
      <c r="A305" s="45" t="s">
        <v>1255</v>
      </c>
      <c r="B305" s="50">
        <v>0</v>
      </c>
      <c r="C305" s="50">
        <v>0</v>
      </c>
      <c r="D305" s="50">
        <v>292723156</v>
      </c>
      <c r="E305" s="50">
        <v>292723156</v>
      </c>
      <c r="F305" s="50">
        <v>0</v>
      </c>
      <c r="G305" s="50">
        <v>0</v>
      </c>
      <c r="H305" s="45" t="s">
        <v>1256</v>
      </c>
    </row>
    <row r="306" spans="1:8" ht="15">
      <c r="A306" s="45" t="s">
        <v>1257</v>
      </c>
      <c r="B306" s="50">
        <v>0</v>
      </c>
      <c r="C306" s="50">
        <v>0</v>
      </c>
      <c r="D306" s="50">
        <v>300498952</v>
      </c>
      <c r="E306" s="50">
        <v>300498952</v>
      </c>
      <c r="F306" s="50">
        <v>0</v>
      </c>
      <c r="G306" s="50">
        <v>0</v>
      </c>
      <c r="H306" s="45" t="s">
        <v>1258</v>
      </c>
    </row>
    <row r="307" spans="1:8" ht="15">
      <c r="A307" s="45" t="s">
        <v>1259</v>
      </c>
      <c r="B307" s="50">
        <v>0</v>
      </c>
      <c r="C307" s="50">
        <v>0</v>
      </c>
      <c r="D307" s="50">
        <v>300498952</v>
      </c>
      <c r="E307" s="50">
        <v>300498952</v>
      </c>
      <c r="F307" s="50">
        <v>0</v>
      </c>
      <c r="G307" s="50">
        <v>0</v>
      </c>
      <c r="H307" s="45" t="s">
        <v>1260</v>
      </c>
    </row>
    <row r="308" spans="1:8" ht="15">
      <c r="A308" s="45" t="s">
        <v>1261</v>
      </c>
      <c r="B308" s="50">
        <v>0</v>
      </c>
      <c r="C308" s="50">
        <v>0</v>
      </c>
      <c r="D308" s="50">
        <v>42814501</v>
      </c>
      <c r="E308" s="50">
        <v>42814501</v>
      </c>
      <c r="F308" s="50">
        <v>0</v>
      </c>
      <c r="G308" s="50">
        <v>0</v>
      </c>
      <c r="H308" s="45" t="s">
        <v>1262</v>
      </c>
    </row>
    <row r="309" spans="1:8" ht="15">
      <c r="A309" s="45" t="s">
        <v>1263</v>
      </c>
      <c r="B309" s="50">
        <v>0</v>
      </c>
      <c r="C309" s="50">
        <v>0</v>
      </c>
      <c r="D309" s="50">
        <v>21176776</v>
      </c>
      <c r="E309" s="50">
        <v>21176776</v>
      </c>
      <c r="F309" s="50">
        <v>0</v>
      </c>
      <c r="G309" s="50">
        <v>0</v>
      </c>
      <c r="H309" s="45" t="s">
        <v>1264</v>
      </c>
    </row>
    <row r="310" spans="1:8" ht="15">
      <c r="A310" s="45" t="s">
        <v>1265</v>
      </c>
      <c r="B310" s="50">
        <v>0</v>
      </c>
      <c r="C310" s="50">
        <v>0</v>
      </c>
      <c r="D310" s="50">
        <v>66330452</v>
      </c>
      <c r="E310" s="50">
        <v>66330452</v>
      </c>
      <c r="F310" s="50">
        <v>0</v>
      </c>
      <c r="G310" s="50">
        <v>0</v>
      </c>
      <c r="H310" s="45" t="s">
        <v>1266</v>
      </c>
    </row>
    <row r="311" spans="1:8" ht="15">
      <c r="A311" s="45" t="s">
        <v>1267</v>
      </c>
      <c r="B311" s="50">
        <v>0</v>
      </c>
      <c r="C311" s="50">
        <v>0</v>
      </c>
      <c r="D311" s="50">
        <v>113504385</v>
      </c>
      <c r="E311" s="50">
        <v>113504385</v>
      </c>
      <c r="F311" s="50">
        <v>0</v>
      </c>
      <c r="G311" s="50">
        <v>0</v>
      </c>
      <c r="H311" s="45" t="s">
        <v>1268</v>
      </c>
    </row>
    <row r="312" spans="1:8" ht="15">
      <c r="A312" s="45" t="s">
        <v>1269</v>
      </c>
      <c r="B312" s="50">
        <v>0</v>
      </c>
      <c r="C312" s="50">
        <v>0</v>
      </c>
      <c r="D312" s="50">
        <v>40639050</v>
      </c>
      <c r="E312" s="50">
        <v>40639050</v>
      </c>
      <c r="F312" s="50">
        <v>0</v>
      </c>
      <c r="G312" s="50">
        <v>0</v>
      </c>
      <c r="H312" s="45" t="s">
        <v>1270</v>
      </c>
    </row>
    <row r="313" spans="1:8" ht="15">
      <c r="A313" s="45" t="s">
        <v>1271</v>
      </c>
      <c r="B313" s="50">
        <v>0</v>
      </c>
      <c r="C313" s="50">
        <v>0</v>
      </c>
      <c r="D313" s="50">
        <v>16033788</v>
      </c>
      <c r="E313" s="50">
        <v>16033788</v>
      </c>
      <c r="F313" s="50">
        <v>0</v>
      </c>
      <c r="G313" s="50">
        <v>0</v>
      </c>
      <c r="H313" s="45" t="s">
        <v>1272</v>
      </c>
    </row>
    <row r="314" spans="1:8" ht="15">
      <c r="A314" s="45" t="s">
        <v>1273</v>
      </c>
      <c r="B314" s="50">
        <v>0</v>
      </c>
      <c r="C314" s="50">
        <v>0</v>
      </c>
      <c r="D314" s="50">
        <v>2685413956</v>
      </c>
      <c r="E314" s="50">
        <v>2685413956</v>
      </c>
      <c r="F314" s="50">
        <v>0</v>
      </c>
      <c r="G314" s="50">
        <v>0</v>
      </c>
      <c r="H314" s="45" t="s">
        <v>1274</v>
      </c>
    </row>
    <row r="315" spans="1:8" ht="15">
      <c r="A315" s="45" t="s">
        <v>1275</v>
      </c>
      <c r="B315" s="50">
        <v>0</v>
      </c>
      <c r="C315" s="50">
        <v>0</v>
      </c>
      <c r="D315" s="50">
        <v>1092863021</v>
      </c>
      <c r="E315" s="50">
        <v>1092863021</v>
      </c>
      <c r="F315" s="50">
        <v>0</v>
      </c>
      <c r="G315" s="50">
        <v>0</v>
      </c>
      <c r="H315" s="45" t="s">
        <v>1276</v>
      </c>
    </row>
    <row r="316" spans="1:8" ht="15">
      <c r="A316" s="45" t="s">
        <v>1277</v>
      </c>
      <c r="B316" s="50">
        <v>0</v>
      </c>
      <c r="C316" s="50">
        <v>0</v>
      </c>
      <c r="D316" s="50">
        <v>1092863021</v>
      </c>
      <c r="E316" s="50">
        <v>1092863021</v>
      </c>
      <c r="F316" s="50">
        <v>0</v>
      </c>
      <c r="G316" s="50">
        <v>0</v>
      </c>
      <c r="H316" s="45" t="s">
        <v>1278</v>
      </c>
    </row>
    <row r="317" spans="1:8" ht="15">
      <c r="A317" s="45" t="s">
        <v>1279</v>
      </c>
      <c r="B317" s="50">
        <v>0</v>
      </c>
      <c r="C317" s="50">
        <v>0</v>
      </c>
      <c r="D317" s="50">
        <v>93887721</v>
      </c>
      <c r="E317" s="50">
        <v>93887721</v>
      </c>
      <c r="F317" s="50">
        <v>0</v>
      </c>
      <c r="G317" s="50">
        <v>0</v>
      </c>
      <c r="H317" s="45" t="s">
        <v>1280</v>
      </c>
    </row>
    <row r="318" spans="1:8" ht="15">
      <c r="A318" s="45" t="s">
        <v>1281</v>
      </c>
      <c r="B318" s="50">
        <v>0</v>
      </c>
      <c r="C318" s="50">
        <v>0</v>
      </c>
      <c r="D318" s="50">
        <v>93887721</v>
      </c>
      <c r="E318" s="50">
        <v>93887721</v>
      </c>
      <c r="F318" s="50">
        <v>0</v>
      </c>
      <c r="G318" s="50">
        <v>0</v>
      </c>
      <c r="H318" s="45" t="s">
        <v>1282</v>
      </c>
    </row>
    <row r="319" spans="1:8" ht="15">
      <c r="A319" s="45" t="s">
        <v>1283</v>
      </c>
      <c r="B319" s="50">
        <v>0</v>
      </c>
      <c r="C319" s="50">
        <v>0</v>
      </c>
      <c r="D319" s="50">
        <v>25993214</v>
      </c>
      <c r="E319" s="50">
        <v>25993214</v>
      </c>
      <c r="F319" s="50">
        <v>0</v>
      </c>
      <c r="G319" s="50">
        <v>0</v>
      </c>
      <c r="H319" s="45" t="s">
        <v>1284</v>
      </c>
    </row>
    <row r="320" spans="1:8" ht="15">
      <c r="A320" s="45" t="s">
        <v>1285</v>
      </c>
      <c r="B320" s="50">
        <v>0</v>
      </c>
      <c r="C320" s="50">
        <v>0</v>
      </c>
      <c r="D320" s="50">
        <v>1140000</v>
      </c>
      <c r="E320" s="50">
        <v>1140000</v>
      </c>
      <c r="F320" s="50">
        <v>0</v>
      </c>
      <c r="G320" s="50">
        <v>0</v>
      </c>
      <c r="H320" s="45" t="s">
        <v>1286</v>
      </c>
    </row>
    <row r="321" spans="1:8" ht="15">
      <c r="A321" s="45" t="s">
        <v>1287</v>
      </c>
      <c r="B321" s="50">
        <v>0</v>
      </c>
      <c r="C321" s="50">
        <v>0</v>
      </c>
      <c r="D321" s="50">
        <v>24274628</v>
      </c>
      <c r="E321" s="50">
        <v>24274628</v>
      </c>
      <c r="F321" s="50">
        <v>0</v>
      </c>
      <c r="G321" s="50">
        <v>0</v>
      </c>
      <c r="H321" s="45" t="s">
        <v>1288</v>
      </c>
    </row>
    <row r="322" spans="1:8" ht="15">
      <c r="A322" s="45" t="s">
        <v>1289</v>
      </c>
      <c r="B322" s="50">
        <v>0</v>
      </c>
      <c r="C322" s="50">
        <v>0</v>
      </c>
      <c r="D322" s="50">
        <v>42479879</v>
      </c>
      <c r="E322" s="50">
        <v>42479879</v>
      </c>
      <c r="F322" s="50">
        <v>0</v>
      </c>
      <c r="G322" s="50">
        <v>0</v>
      </c>
      <c r="H322" s="45" t="s">
        <v>1290</v>
      </c>
    </row>
    <row r="323" spans="1:8" ht="15">
      <c r="A323" s="45" t="s">
        <v>1291</v>
      </c>
      <c r="B323" s="50">
        <v>0</v>
      </c>
      <c r="C323" s="50">
        <v>0</v>
      </c>
      <c r="D323" s="50">
        <v>61954499</v>
      </c>
      <c r="E323" s="50">
        <v>61954499</v>
      </c>
      <c r="F323" s="50">
        <v>0</v>
      </c>
      <c r="G323" s="50">
        <v>0</v>
      </c>
      <c r="H323" s="45" t="s">
        <v>1292</v>
      </c>
    </row>
    <row r="324" spans="1:8" ht="15">
      <c r="A324" s="45" t="s">
        <v>1293</v>
      </c>
      <c r="B324" s="50">
        <v>0</v>
      </c>
      <c r="C324" s="50">
        <v>0</v>
      </c>
      <c r="D324" s="50">
        <v>61954499</v>
      </c>
      <c r="E324" s="50">
        <v>61954499</v>
      </c>
      <c r="F324" s="50">
        <v>0</v>
      </c>
      <c r="G324" s="50">
        <v>0</v>
      </c>
      <c r="H324" s="45" t="s">
        <v>1294</v>
      </c>
    </row>
    <row r="325" spans="1:8" ht="15">
      <c r="A325" s="45" t="s">
        <v>1295</v>
      </c>
      <c r="B325" s="50">
        <v>0</v>
      </c>
      <c r="C325" s="50">
        <v>0</v>
      </c>
      <c r="D325" s="50">
        <v>121064850</v>
      </c>
      <c r="E325" s="50">
        <v>121064850</v>
      </c>
      <c r="F325" s="50">
        <v>0</v>
      </c>
      <c r="G325" s="50">
        <v>0</v>
      </c>
      <c r="H325" s="45" t="s">
        <v>1296</v>
      </c>
    </row>
    <row r="326" spans="1:8" ht="15">
      <c r="A326" s="45" t="s">
        <v>1297</v>
      </c>
      <c r="B326" s="50">
        <v>0</v>
      </c>
      <c r="C326" s="50">
        <v>0</v>
      </c>
      <c r="D326" s="50">
        <v>121064850</v>
      </c>
      <c r="E326" s="50">
        <v>121064850</v>
      </c>
      <c r="F326" s="50">
        <v>0</v>
      </c>
      <c r="G326" s="50">
        <v>0</v>
      </c>
      <c r="H326" s="45" t="s">
        <v>1298</v>
      </c>
    </row>
    <row r="327" spans="1:8" ht="15">
      <c r="A327" s="45" t="s">
        <v>1299</v>
      </c>
      <c r="B327" s="50">
        <v>0</v>
      </c>
      <c r="C327" s="50">
        <v>0</v>
      </c>
      <c r="D327" s="50">
        <v>4763181</v>
      </c>
      <c r="E327" s="50">
        <v>4763181</v>
      </c>
      <c r="F327" s="50">
        <v>0</v>
      </c>
      <c r="G327" s="50">
        <v>0</v>
      </c>
      <c r="H327" s="45" t="s">
        <v>1300</v>
      </c>
    </row>
    <row r="328" spans="1:8" ht="15">
      <c r="A328" s="45" t="s">
        <v>1301</v>
      </c>
      <c r="B328" s="50">
        <v>0</v>
      </c>
      <c r="C328" s="50">
        <v>0</v>
      </c>
      <c r="D328" s="50">
        <v>4763181</v>
      </c>
      <c r="E328" s="50">
        <v>4763181</v>
      </c>
      <c r="F328" s="50">
        <v>0</v>
      </c>
      <c r="G328" s="50">
        <v>0</v>
      </c>
      <c r="H328" s="45" t="s">
        <v>1302</v>
      </c>
    </row>
    <row r="329" spans="1:8" ht="15">
      <c r="A329" s="45" t="s">
        <v>1303</v>
      </c>
      <c r="B329" s="50">
        <v>0</v>
      </c>
      <c r="C329" s="50">
        <v>0</v>
      </c>
      <c r="D329" s="50">
        <v>533786295</v>
      </c>
      <c r="E329" s="50">
        <v>533786295</v>
      </c>
      <c r="F329" s="50">
        <v>0</v>
      </c>
      <c r="G329" s="50">
        <v>0</v>
      </c>
      <c r="H329" s="45" t="s">
        <v>1304</v>
      </c>
    </row>
    <row r="330" spans="1:8" ht="15">
      <c r="A330" s="45" t="s">
        <v>1305</v>
      </c>
      <c r="B330" s="50">
        <v>0</v>
      </c>
      <c r="C330" s="50">
        <v>0</v>
      </c>
      <c r="D330" s="50">
        <v>533786295</v>
      </c>
      <c r="E330" s="50">
        <v>533786295</v>
      </c>
      <c r="F330" s="50">
        <v>0</v>
      </c>
      <c r="G330" s="50">
        <v>0</v>
      </c>
      <c r="H330" s="45" t="s">
        <v>1306</v>
      </c>
    </row>
    <row r="331" spans="1:8" ht="15">
      <c r="A331" s="45" t="s">
        <v>1307</v>
      </c>
      <c r="B331" s="50">
        <v>0</v>
      </c>
      <c r="C331" s="50">
        <v>0</v>
      </c>
      <c r="D331" s="50">
        <v>48329655</v>
      </c>
      <c r="E331" s="50">
        <v>48329655</v>
      </c>
      <c r="F331" s="50">
        <v>0</v>
      </c>
      <c r="G331" s="50">
        <v>0</v>
      </c>
      <c r="H331" s="45" t="s">
        <v>1308</v>
      </c>
    </row>
    <row r="332" spans="1:8" ht="15">
      <c r="A332" s="45" t="s">
        <v>1309</v>
      </c>
      <c r="B332" s="50">
        <v>0</v>
      </c>
      <c r="C332" s="50">
        <v>0</v>
      </c>
      <c r="D332" s="50">
        <v>186028640</v>
      </c>
      <c r="E332" s="50">
        <v>186028640</v>
      </c>
      <c r="F332" s="50">
        <v>0</v>
      </c>
      <c r="G332" s="50">
        <v>0</v>
      </c>
      <c r="H332" s="45" t="s">
        <v>1310</v>
      </c>
    </row>
    <row r="333" spans="1:8" ht="15">
      <c r="A333" s="45" t="s">
        <v>1311</v>
      </c>
      <c r="B333" s="50">
        <v>0</v>
      </c>
      <c r="C333" s="50">
        <v>0</v>
      </c>
      <c r="D333" s="50">
        <v>299428000</v>
      </c>
      <c r="E333" s="50">
        <v>299428000</v>
      </c>
      <c r="F333" s="50">
        <v>0</v>
      </c>
      <c r="G333" s="50">
        <v>0</v>
      </c>
      <c r="H333" s="45" t="s">
        <v>1312</v>
      </c>
    </row>
    <row r="334" spans="1:8" ht="15">
      <c r="A334" s="45" t="s">
        <v>1313</v>
      </c>
      <c r="B334" s="50">
        <v>0</v>
      </c>
      <c r="C334" s="50">
        <v>0</v>
      </c>
      <c r="D334" s="50">
        <v>519073491</v>
      </c>
      <c r="E334" s="50">
        <v>519073491</v>
      </c>
      <c r="F334" s="50">
        <v>0</v>
      </c>
      <c r="G334" s="50">
        <v>0</v>
      </c>
      <c r="H334" s="45" t="s">
        <v>613</v>
      </c>
    </row>
    <row r="335" spans="1:8" ht="15">
      <c r="A335" s="45" t="s">
        <v>1314</v>
      </c>
      <c r="B335" s="50">
        <v>0</v>
      </c>
      <c r="C335" s="50">
        <v>0</v>
      </c>
      <c r="D335" s="50">
        <v>519073491</v>
      </c>
      <c r="E335" s="50">
        <v>519073491</v>
      </c>
      <c r="F335" s="50">
        <v>0</v>
      </c>
      <c r="G335" s="50">
        <v>0</v>
      </c>
      <c r="H335" s="45" t="s">
        <v>1315</v>
      </c>
    </row>
    <row r="336" spans="1:8" ht="15">
      <c r="A336" s="45" t="s">
        <v>1316</v>
      </c>
      <c r="B336" s="50">
        <v>0</v>
      </c>
      <c r="C336" s="50">
        <v>0</v>
      </c>
      <c r="D336" s="50">
        <v>35667639</v>
      </c>
      <c r="E336" s="50">
        <v>35667639</v>
      </c>
      <c r="F336" s="50">
        <v>0</v>
      </c>
      <c r="G336" s="50">
        <v>0</v>
      </c>
      <c r="H336" s="45" t="s">
        <v>1317</v>
      </c>
    </row>
    <row r="337" spans="1:8" ht="15">
      <c r="A337" s="45" t="s">
        <v>1318</v>
      </c>
      <c r="B337" s="50">
        <v>0</v>
      </c>
      <c r="C337" s="50">
        <v>0</v>
      </c>
      <c r="D337" s="50">
        <v>34880774</v>
      </c>
      <c r="E337" s="50">
        <v>34880774</v>
      </c>
      <c r="F337" s="50">
        <v>0</v>
      </c>
      <c r="G337" s="50">
        <v>0</v>
      </c>
      <c r="H337" s="45" t="s">
        <v>1319</v>
      </c>
    </row>
    <row r="338" spans="1:8" ht="15">
      <c r="A338" s="45" t="s">
        <v>1320</v>
      </c>
      <c r="B338" s="50">
        <v>0</v>
      </c>
      <c r="C338" s="50">
        <v>0</v>
      </c>
      <c r="D338" s="50">
        <v>448525078</v>
      </c>
      <c r="E338" s="50">
        <v>448525078</v>
      </c>
      <c r="F338" s="50">
        <v>0</v>
      </c>
      <c r="G338" s="50">
        <v>0</v>
      </c>
      <c r="H338" s="45" t="s">
        <v>658</v>
      </c>
    </row>
    <row r="339" spans="1:8" ht="15">
      <c r="A339" s="45" t="s">
        <v>659</v>
      </c>
      <c r="B339" s="50">
        <v>0</v>
      </c>
      <c r="C339" s="50">
        <v>0</v>
      </c>
      <c r="D339" s="50">
        <v>258020898</v>
      </c>
      <c r="E339" s="50">
        <v>258020898</v>
      </c>
      <c r="F339" s="50">
        <v>0</v>
      </c>
      <c r="G339" s="50">
        <v>0</v>
      </c>
      <c r="H339" s="45" t="s">
        <v>660</v>
      </c>
    </row>
    <row r="340" spans="1:8" ht="15">
      <c r="A340" s="45" t="s">
        <v>661</v>
      </c>
      <c r="B340" s="50">
        <v>0</v>
      </c>
      <c r="C340" s="50">
        <v>0</v>
      </c>
      <c r="D340" s="50">
        <v>258020898</v>
      </c>
      <c r="E340" s="50">
        <v>258020898</v>
      </c>
      <c r="F340" s="50">
        <v>0</v>
      </c>
      <c r="G340" s="50">
        <v>0</v>
      </c>
      <c r="H340" s="45" t="s">
        <v>662</v>
      </c>
    </row>
    <row r="341" spans="1:8" ht="15">
      <c r="A341" s="45" t="s">
        <v>663</v>
      </c>
      <c r="B341" s="50">
        <v>0</v>
      </c>
      <c r="C341" s="50">
        <v>0</v>
      </c>
      <c r="D341" s="50">
        <v>130831706</v>
      </c>
      <c r="E341" s="50">
        <v>130831706</v>
      </c>
      <c r="F341" s="50">
        <v>0</v>
      </c>
      <c r="G341" s="50">
        <v>0</v>
      </c>
      <c r="H341" s="45" t="s">
        <v>664</v>
      </c>
    </row>
    <row r="342" spans="1:8" ht="15">
      <c r="A342" s="45" t="s">
        <v>665</v>
      </c>
      <c r="B342" s="50">
        <v>0</v>
      </c>
      <c r="C342" s="50">
        <v>0</v>
      </c>
      <c r="D342" s="50">
        <v>130831706</v>
      </c>
      <c r="E342" s="50">
        <v>130831706</v>
      </c>
      <c r="F342" s="50">
        <v>0</v>
      </c>
      <c r="G342" s="50">
        <v>0</v>
      </c>
      <c r="H342" s="45" t="s">
        <v>666</v>
      </c>
    </row>
    <row r="343" spans="1:8" ht="15">
      <c r="A343" s="45" t="s">
        <v>667</v>
      </c>
      <c r="B343" s="50">
        <v>0</v>
      </c>
      <c r="C343" s="50">
        <v>0</v>
      </c>
      <c r="D343" s="50">
        <v>55421285</v>
      </c>
      <c r="E343" s="50">
        <v>55421285</v>
      </c>
      <c r="F343" s="50">
        <v>0</v>
      </c>
      <c r="G343" s="50">
        <v>0</v>
      </c>
      <c r="H343" s="45" t="s">
        <v>668</v>
      </c>
    </row>
    <row r="344" spans="1:8" ht="15">
      <c r="A344" s="45" t="s">
        <v>669</v>
      </c>
      <c r="B344" s="50">
        <v>0</v>
      </c>
      <c r="C344" s="50">
        <v>0</v>
      </c>
      <c r="D344" s="50">
        <v>55421285</v>
      </c>
      <c r="E344" s="50">
        <v>55421285</v>
      </c>
      <c r="F344" s="50">
        <v>0</v>
      </c>
      <c r="G344" s="50">
        <v>0</v>
      </c>
      <c r="H344" s="45" t="s">
        <v>670</v>
      </c>
    </row>
    <row r="345" spans="1:8" ht="15">
      <c r="A345" s="45" t="s">
        <v>671</v>
      </c>
      <c r="B345" s="50">
        <v>0</v>
      </c>
      <c r="C345" s="50">
        <v>0</v>
      </c>
      <c r="D345" s="50">
        <v>40879070387</v>
      </c>
      <c r="E345" s="50">
        <v>40879070387</v>
      </c>
      <c r="F345" s="50">
        <v>0</v>
      </c>
      <c r="G345" s="50">
        <v>0</v>
      </c>
      <c r="H345" s="45" t="s">
        <v>672</v>
      </c>
    </row>
    <row r="346" spans="1:8" ht="15">
      <c r="A346" s="45" t="s">
        <v>673</v>
      </c>
      <c r="B346" s="50">
        <v>0</v>
      </c>
      <c r="C346" s="50">
        <v>0</v>
      </c>
      <c r="D346" s="50">
        <v>40879070387</v>
      </c>
      <c r="E346" s="50">
        <v>40879070387</v>
      </c>
      <c r="F346" s="50">
        <v>0</v>
      </c>
      <c r="G346" s="50">
        <v>0</v>
      </c>
      <c r="H346" s="45" t="s">
        <v>1</v>
      </c>
    </row>
    <row r="347" spans="1:8" ht="15">
      <c r="A347" s="45" t="s">
        <v>2</v>
      </c>
      <c r="B347" s="50">
        <v>0</v>
      </c>
      <c r="C347" s="50">
        <v>0</v>
      </c>
      <c r="D347" s="50">
        <v>29861036703</v>
      </c>
      <c r="E347" s="50">
        <v>29861036703</v>
      </c>
      <c r="F347" s="50">
        <v>0</v>
      </c>
      <c r="G347" s="50">
        <v>0</v>
      </c>
      <c r="H347" s="45" t="s">
        <v>3</v>
      </c>
    </row>
    <row r="348" spans="1:8" ht="15">
      <c r="A348" s="45" t="s">
        <v>4</v>
      </c>
      <c r="B348" s="50">
        <v>0</v>
      </c>
      <c r="C348" s="50">
        <v>0</v>
      </c>
      <c r="D348" s="50">
        <v>9814203580</v>
      </c>
      <c r="E348" s="50">
        <v>9814203580</v>
      </c>
      <c r="F348" s="50">
        <v>0</v>
      </c>
      <c r="G348" s="50">
        <v>0</v>
      </c>
      <c r="H348" s="45" t="s">
        <v>335</v>
      </c>
    </row>
    <row r="349" spans="1:8" ht="15">
      <c r="A349" s="45" t="s">
        <v>336</v>
      </c>
      <c r="B349" s="50">
        <v>0</v>
      </c>
      <c r="C349" s="50">
        <v>0</v>
      </c>
      <c r="D349" s="50">
        <v>3180903980</v>
      </c>
      <c r="E349" s="50">
        <v>3180903980</v>
      </c>
      <c r="F349" s="50">
        <v>0</v>
      </c>
      <c r="G349" s="50">
        <v>0</v>
      </c>
      <c r="H349" s="45" t="s">
        <v>337</v>
      </c>
    </row>
    <row r="350" spans="1:8" ht="15">
      <c r="A350" s="45" t="s">
        <v>338</v>
      </c>
      <c r="B350" s="50">
        <v>0</v>
      </c>
      <c r="C350" s="50">
        <v>0</v>
      </c>
      <c r="D350" s="50">
        <v>16872391991</v>
      </c>
      <c r="E350" s="50">
        <v>16872391991</v>
      </c>
      <c r="F350" s="50">
        <v>0</v>
      </c>
      <c r="G350" s="50">
        <v>0</v>
      </c>
      <c r="H350" s="45" t="s">
        <v>339</v>
      </c>
    </row>
    <row r="351" spans="1:8" ht="15">
      <c r="A351" s="45" t="s">
        <v>340</v>
      </c>
      <c r="B351" s="50">
        <v>0</v>
      </c>
      <c r="C351" s="50">
        <v>0</v>
      </c>
      <c r="D351" s="50">
        <v>-6462848</v>
      </c>
      <c r="E351" s="50">
        <v>-6462848</v>
      </c>
      <c r="F351" s="50">
        <v>0</v>
      </c>
      <c r="G351" s="50">
        <v>0</v>
      </c>
      <c r="H351" s="45" t="s">
        <v>341</v>
      </c>
    </row>
    <row r="352" spans="1:8" ht="15">
      <c r="A352" s="45" t="s">
        <v>342</v>
      </c>
      <c r="B352" s="50">
        <v>0</v>
      </c>
      <c r="C352" s="50">
        <v>0</v>
      </c>
      <c r="D352" s="50">
        <v>11018033684</v>
      </c>
      <c r="E352" s="50">
        <v>11018033684</v>
      </c>
      <c r="F352" s="50">
        <v>0</v>
      </c>
      <c r="G352" s="50">
        <v>0</v>
      </c>
      <c r="H352" s="45" t="s">
        <v>343</v>
      </c>
    </row>
    <row r="353" spans="1:8" ht="15">
      <c r="A353" s="45" t="s">
        <v>344</v>
      </c>
      <c r="B353" s="50">
        <v>0</v>
      </c>
      <c r="C353" s="50">
        <v>0</v>
      </c>
      <c r="D353" s="50">
        <v>3866104787</v>
      </c>
      <c r="E353" s="50">
        <v>3866104787</v>
      </c>
      <c r="F353" s="50">
        <v>0</v>
      </c>
      <c r="G353" s="50">
        <v>0</v>
      </c>
      <c r="H353" s="45" t="s">
        <v>345</v>
      </c>
    </row>
    <row r="354" spans="1:8" ht="15">
      <c r="A354" s="45" t="s">
        <v>346</v>
      </c>
      <c r="B354" s="50">
        <v>0</v>
      </c>
      <c r="C354" s="50">
        <v>0</v>
      </c>
      <c r="D354" s="50">
        <v>2156043320</v>
      </c>
      <c r="E354" s="50">
        <v>2156043320</v>
      </c>
      <c r="F354" s="50">
        <v>0</v>
      </c>
      <c r="G354" s="50">
        <v>0</v>
      </c>
      <c r="H354" s="45" t="s">
        <v>347</v>
      </c>
    </row>
    <row r="355" spans="1:8" ht="15">
      <c r="A355" s="45" t="s">
        <v>348</v>
      </c>
      <c r="B355" s="50">
        <v>0</v>
      </c>
      <c r="C355" s="50">
        <v>0</v>
      </c>
      <c r="D355" s="50">
        <v>288002728</v>
      </c>
      <c r="E355" s="50">
        <v>288002728</v>
      </c>
      <c r="F355" s="50">
        <v>0</v>
      </c>
      <c r="G355" s="50">
        <v>0</v>
      </c>
      <c r="H355" s="45" t="s">
        <v>375</v>
      </c>
    </row>
    <row r="356" spans="1:8" ht="15">
      <c r="A356" s="45" t="s">
        <v>376</v>
      </c>
      <c r="B356" s="50">
        <v>0</v>
      </c>
      <c r="C356" s="50">
        <v>0</v>
      </c>
      <c r="D356" s="50">
        <v>328338186</v>
      </c>
      <c r="E356" s="50">
        <v>328338186</v>
      </c>
      <c r="F356" s="50">
        <v>0</v>
      </c>
      <c r="G356" s="50">
        <v>0</v>
      </c>
      <c r="H356" s="45" t="s">
        <v>377</v>
      </c>
    </row>
    <row r="357" spans="1:8" ht="15">
      <c r="A357" s="45" t="s">
        <v>378</v>
      </c>
      <c r="B357" s="50">
        <v>0</v>
      </c>
      <c r="C357" s="50">
        <v>0</v>
      </c>
      <c r="D357" s="50">
        <v>4282230331</v>
      </c>
      <c r="E357" s="50">
        <v>4282230331</v>
      </c>
      <c r="F357" s="50">
        <v>0</v>
      </c>
      <c r="G357" s="50">
        <v>0</v>
      </c>
      <c r="H357" s="45" t="s">
        <v>379</v>
      </c>
    </row>
    <row r="358" spans="1:8" ht="15">
      <c r="A358" s="45" t="s">
        <v>380</v>
      </c>
      <c r="B358" s="50">
        <v>0</v>
      </c>
      <c r="C358" s="50">
        <v>0</v>
      </c>
      <c r="D358" s="50">
        <v>97314332</v>
      </c>
      <c r="E358" s="50">
        <v>97314332</v>
      </c>
      <c r="F358" s="50">
        <v>0</v>
      </c>
      <c r="G358" s="50">
        <v>0</v>
      </c>
      <c r="H358" s="45" t="s">
        <v>381</v>
      </c>
    </row>
    <row r="359" spans="1:8" ht="15">
      <c r="A359" s="45" t="s">
        <v>382</v>
      </c>
      <c r="B359" s="50">
        <v>0</v>
      </c>
      <c r="C359" s="50">
        <v>0</v>
      </c>
      <c r="D359" s="50">
        <v>0</v>
      </c>
      <c r="E359" s="50">
        <v>0</v>
      </c>
      <c r="F359" s="50">
        <v>0</v>
      </c>
      <c r="G359" s="50">
        <v>0</v>
      </c>
      <c r="H359" s="45" t="s">
        <v>383</v>
      </c>
    </row>
    <row r="360" spans="1:8" ht="15">
      <c r="A360" s="45" t="s">
        <v>384</v>
      </c>
      <c r="B360" s="50">
        <v>0</v>
      </c>
      <c r="C360" s="50">
        <v>0</v>
      </c>
      <c r="D360" s="50">
        <v>0</v>
      </c>
      <c r="E360" s="50">
        <v>0</v>
      </c>
      <c r="F360" s="50">
        <v>0</v>
      </c>
      <c r="G360" s="50">
        <v>0</v>
      </c>
      <c r="H360" s="45" t="s">
        <v>385</v>
      </c>
    </row>
    <row r="361" spans="1:8" ht="15">
      <c r="A361" s="45" t="s">
        <v>386</v>
      </c>
      <c r="B361" s="50">
        <v>0</v>
      </c>
      <c r="C361" s="50">
        <v>0</v>
      </c>
      <c r="D361" s="50">
        <v>0</v>
      </c>
      <c r="E361" s="50">
        <v>0</v>
      </c>
      <c r="F361" s="50">
        <v>0</v>
      </c>
      <c r="G361" s="50">
        <v>0</v>
      </c>
      <c r="H361" s="45" t="s">
        <v>387</v>
      </c>
    </row>
    <row r="362" spans="1:8" ht="15">
      <c r="A362" s="45" t="s">
        <v>388</v>
      </c>
      <c r="B362" s="50">
        <v>0</v>
      </c>
      <c r="C362" s="50">
        <v>0</v>
      </c>
      <c r="D362" s="50">
        <v>0</v>
      </c>
      <c r="E362" s="50">
        <v>0</v>
      </c>
      <c r="F362" s="50">
        <v>0</v>
      </c>
      <c r="G362" s="50">
        <v>0</v>
      </c>
      <c r="H362" s="45" t="s">
        <v>389</v>
      </c>
    </row>
    <row r="363" spans="1:8" ht="15">
      <c r="A363" s="45" t="s">
        <v>390</v>
      </c>
      <c r="B363" s="50">
        <v>0</v>
      </c>
      <c r="C363" s="50">
        <v>0</v>
      </c>
      <c r="D363" s="50">
        <v>0</v>
      </c>
      <c r="E363" s="50">
        <v>0</v>
      </c>
      <c r="F363" s="50">
        <v>0</v>
      </c>
      <c r="G363" s="50">
        <v>0</v>
      </c>
      <c r="H363" s="45" t="s">
        <v>391</v>
      </c>
    </row>
    <row r="364" spans="1:8" ht="15">
      <c r="A364" s="45" t="s">
        <v>392</v>
      </c>
      <c r="B364" s="50">
        <v>0</v>
      </c>
      <c r="C364" s="50">
        <v>0</v>
      </c>
      <c r="D364" s="50">
        <v>0</v>
      </c>
      <c r="E364" s="50">
        <v>0</v>
      </c>
      <c r="F364" s="50">
        <v>0</v>
      </c>
      <c r="G364" s="50">
        <v>0</v>
      </c>
      <c r="H364" s="45" t="s">
        <v>393</v>
      </c>
    </row>
    <row r="365" spans="1:8" ht="15">
      <c r="A365" s="45" t="s">
        <v>394</v>
      </c>
      <c r="B365" s="50">
        <v>0</v>
      </c>
      <c r="C365" s="50">
        <v>0</v>
      </c>
      <c r="D365" s="50">
        <v>0</v>
      </c>
      <c r="E365" s="50">
        <v>0</v>
      </c>
      <c r="F365" s="50">
        <v>0</v>
      </c>
      <c r="G365" s="50">
        <v>0</v>
      </c>
      <c r="H365" s="45" t="s">
        <v>395</v>
      </c>
    </row>
    <row r="366" spans="1:8" ht="15">
      <c r="A366" s="45" t="s">
        <v>396</v>
      </c>
      <c r="B366" s="50">
        <v>0</v>
      </c>
      <c r="C366" s="50">
        <v>0</v>
      </c>
      <c r="D366" s="50">
        <v>0</v>
      </c>
      <c r="E366" s="50">
        <v>0</v>
      </c>
      <c r="F366" s="50">
        <v>0</v>
      </c>
      <c r="G366" s="50">
        <v>0</v>
      </c>
      <c r="H366" s="45" t="s">
        <v>397</v>
      </c>
    </row>
  </sheetData>
  <printOptions/>
  <pageMargins left="0.75" right="0.32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9.8984375" style="22" customWidth="1"/>
    <col min="2" max="2" width="1.2890625" style="22" customWidth="1"/>
    <col min="3" max="3" width="32.09765625" style="22" customWidth="1"/>
    <col min="4" max="16384" width="9.09765625" style="22" customWidth="1"/>
  </cols>
  <sheetData>
    <row r="1" spans="1:3" ht="15">
      <c r="A1" s="24"/>
      <c r="C1" s="24"/>
    </row>
    <row r="2" ht="15.75" thickBot="1">
      <c r="A2" s="24"/>
    </row>
    <row r="3" spans="1:3" ht="15.75" thickBot="1">
      <c r="A3" s="24"/>
      <c r="C3" s="24"/>
    </row>
    <row r="4" spans="1:3" ht="15">
      <c r="A4" s="24"/>
      <c r="C4" s="24"/>
    </row>
    <row r="5" ht="15">
      <c r="C5" s="24"/>
    </row>
    <row r="6" ht="15.75" thickBot="1">
      <c r="C6" s="24"/>
    </row>
    <row r="7" spans="1:3" ht="15">
      <c r="A7" s="24"/>
      <c r="C7" s="24"/>
    </row>
    <row r="8" spans="1:3" ht="15">
      <c r="A8" s="24"/>
      <c r="C8" s="24"/>
    </row>
    <row r="9" spans="1:3" ht="15">
      <c r="A9" s="24"/>
      <c r="C9" s="24"/>
    </row>
    <row r="10" spans="1:3" ht="15">
      <c r="A10" s="24"/>
      <c r="C10" s="24"/>
    </row>
    <row r="11" spans="1:3" ht="15.75" thickBot="1">
      <c r="A11" s="24"/>
      <c r="C11" s="24"/>
    </row>
    <row r="12" ht="15">
      <c r="C12" s="24"/>
    </row>
    <row r="13" ht="15.75" thickBot="1">
      <c r="C13" s="24"/>
    </row>
    <row r="14" spans="1:3" ht="15.75" thickBot="1">
      <c r="A14" s="24"/>
      <c r="C14" s="24"/>
    </row>
    <row r="15" ht="15">
      <c r="A15" s="24"/>
    </row>
    <row r="16" ht="15.75" thickBot="1">
      <c r="A16" s="24"/>
    </row>
    <row r="17" spans="1:3" ht="15.75" thickBot="1">
      <c r="A17" s="24"/>
      <c r="C17" s="24"/>
    </row>
    <row r="18" ht="15">
      <c r="C18" s="24"/>
    </row>
    <row r="19" ht="15">
      <c r="C19" s="24"/>
    </row>
    <row r="20" spans="1:3" ht="15">
      <c r="A20" s="24"/>
      <c r="C20" s="24"/>
    </row>
    <row r="21" spans="1:3" ht="15">
      <c r="A21" s="24"/>
      <c r="C21" s="24"/>
    </row>
    <row r="22" spans="1:3" ht="15">
      <c r="A22" s="24"/>
      <c r="C22" s="24"/>
    </row>
    <row r="23" spans="1:3" ht="15">
      <c r="A23" s="24"/>
      <c r="C23" s="24"/>
    </row>
    <row r="24" ht="15">
      <c r="A24" s="24"/>
    </row>
    <row r="25" ht="15">
      <c r="A25" s="24"/>
    </row>
    <row r="26" spans="1:3" ht="15.75" thickBot="1">
      <c r="A26" s="24"/>
      <c r="C26" s="24"/>
    </row>
    <row r="27" spans="1:3" ht="15">
      <c r="A27" s="24"/>
      <c r="C27" s="24"/>
    </row>
    <row r="28" spans="1:3" ht="15">
      <c r="A28" s="24"/>
      <c r="C28" s="24"/>
    </row>
    <row r="29" spans="1:3" ht="15">
      <c r="A29" s="24"/>
      <c r="C29" s="24"/>
    </row>
    <row r="30" spans="1:3" ht="15">
      <c r="A30" s="24"/>
      <c r="C30" s="24"/>
    </row>
    <row r="31" spans="1:3" ht="15">
      <c r="A31" s="24"/>
      <c r="C31" s="24"/>
    </row>
    <row r="32" spans="1:3" ht="15">
      <c r="A32" s="24"/>
      <c r="C32" s="24"/>
    </row>
    <row r="33" spans="1:3" ht="15">
      <c r="A33" s="24"/>
      <c r="C33" s="24"/>
    </row>
    <row r="34" spans="1:3" ht="15">
      <c r="A34" s="24"/>
      <c r="C34" s="24"/>
    </row>
    <row r="35" spans="1:3" ht="15">
      <c r="A35" s="24"/>
      <c r="C35" s="24"/>
    </row>
    <row r="36" spans="1:3" ht="15">
      <c r="A36" s="24"/>
      <c r="C36" s="24"/>
    </row>
    <row r="37" ht="15">
      <c r="A37" s="24"/>
    </row>
    <row r="38" ht="15">
      <c r="A38" s="24"/>
    </row>
    <row r="39" spans="1:3" ht="15">
      <c r="A39" s="24"/>
      <c r="C39" s="24"/>
    </row>
    <row r="40" spans="1:3" ht="15">
      <c r="A40" s="24"/>
      <c r="C40" s="24"/>
    </row>
    <row r="41" spans="1:3" ht="15">
      <c r="A41" s="24"/>
      <c r="C41" s="2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9.8984375" style="22" customWidth="1"/>
    <col min="2" max="2" width="1.2890625" style="22" customWidth="1"/>
    <col min="3" max="3" width="32.09765625" style="22" customWidth="1"/>
    <col min="4" max="16384" width="9.09765625" style="22" customWidth="1"/>
  </cols>
  <sheetData>
    <row r="1" spans="1:3" ht="15">
      <c r="A1" s="40"/>
      <c r="C1" s="41"/>
    </row>
    <row r="2" ht="15.75" thickBot="1">
      <c r="A2" s="40"/>
    </row>
    <row r="3" spans="1:3" ht="15.75" thickBot="1">
      <c r="A3" s="40"/>
      <c r="C3" s="40"/>
    </row>
    <row r="4" spans="1:3" ht="15">
      <c r="A4" s="40"/>
      <c r="C4" s="40"/>
    </row>
    <row r="5" ht="15">
      <c r="C5" s="40"/>
    </row>
    <row r="6" ht="15.75" thickBot="1">
      <c r="C6" s="40"/>
    </row>
    <row r="7" spans="1:3" ht="15">
      <c r="A7" s="40"/>
      <c r="C7" s="40"/>
    </row>
    <row r="8" spans="1:3" ht="15">
      <c r="A8" s="40"/>
      <c r="C8" s="40"/>
    </row>
    <row r="9" spans="1:3" ht="15">
      <c r="A9" s="40"/>
      <c r="C9" s="40"/>
    </row>
    <row r="10" spans="1:3" ht="15">
      <c r="A10" s="40"/>
      <c r="C10" s="40"/>
    </row>
    <row r="11" spans="1:3" ht="15.75" thickBot="1">
      <c r="A11" s="40"/>
      <c r="C11" s="40"/>
    </row>
    <row r="12" ht="15">
      <c r="C12" s="40"/>
    </row>
    <row r="13" ht="15.75" thickBot="1">
      <c r="C13" s="40"/>
    </row>
    <row r="14" spans="1:3" ht="15.75" thickBot="1">
      <c r="A14" s="40"/>
      <c r="C14" s="40"/>
    </row>
    <row r="15" ht="15">
      <c r="A15" s="40"/>
    </row>
    <row r="16" ht="15.75" thickBot="1">
      <c r="A16" s="40"/>
    </row>
    <row r="17" spans="1:3" ht="15.75" thickBot="1">
      <c r="A17" s="40"/>
      <c r="C17" s="40"/>
    </row>
    <row r="18" ht="15">
      <c r="C18" s="40"/>
    </row>
    <row r="19" ht="15">
      <c r="C19" s="40"/>
    </row>
    <row r="20" spans="1:3" ht="15">
      <c r="A20" s="40"/>
      <c r="C20" s="40"/>
    </row>
    <row r="21" spans="1:3" ht="15">
      <c r="A21" s="40"/>
      <c r="C21" s="40"/>
    </row>
    <row r="22" spans="1:3" ht="15">
      <c r="A22" s="40"/>
      <c r="C22" s="40"/>
    </row>
    <row r="23" spans="1:3" ht="15">
      <c r="A23" s="40"/>
      <c r="C23" s="40"/>
    </row>
    <row r="24" ht="15">
      <c r="A24" s="40"/>
    </row>
    <row r="25" ht="15">
      <c r="A25" s="40"/>
    </row>
    <row r="26" spans="1:3" ht="15.75" thickBot="1">
      <c r="A26" s="40"/>
      <c r="C26" s="40"/>
    </row>
    <row r="27" spans="1:3" ht="15">
      <c r="A27" s="40"/>
      <c r="C27" s="40"/>
    </row>
    <row r="28" spans="1:3" ht="15">
      <c r="A28" s="40"/>
      <c r="C28" s="40"/>
    </row>
    <row r="29" spans="1:3" ht="15">
      <c r="A29" s="40"/>
      <c r="C29" s="40"/>
    </row>
    <row r="30" spans="1:3" ht="15">
      <c r="A30" s="40"/>
      <c r="C30" s="40"/>
    </row>
    <row r="31" spans="1:3" ht="15">
      <c r="A31" s="40"/>
      <c r="C31" s="40"/>
    </row>
    <row r="32" spans="1:3" ht="15">
      <c r="A32" s="40"/>
      <c r="C32" s="40"/>
    </row>
    <row r="33" spans="1:3" ht="15">
      <c r="A33" s="40"/>
      <c r="C33" s="40"/>
    </row>
    <row r="34" spans="1:3" ht="15">
      <c r="A34" s="40"/>
      <c r="C34" s="40"/>
    </row>
    <row r="35" spans="1:3" ht="15">
      <c r="A35" s="40"/>
      <c r="C35" s="40"/>
    </row>
    <row r="36" spans="1:3" ht="15">
      <c r="A36" s="40"/>
      <c r="C36" s="40"/>
    </row>
    <row r="37" ht="15">
      <c r="A37" s="40"/>
    </row>
    <row r="38" ht="15">
      <c r="A38" s="40"/>
    </row>
    <row r="39" spans="1:3" ht="15">
      <c r="A39" s="40"/>
      <c r="C39" s="40"/>
    </row>
    <row r="40" spans="1:3" ht="15">
      <c r="A40" s="40"/>
      <c r="C40" s="40"/>
    </row>
    <row r="41" spans="1:3" ht="15">
      <c r="A41" s="40"/>
      <c r="C41" s="40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Hieu</dc:creator>
  <cp:keywords/>
  <dc:description/>
  <cp:lastModifiedBy>t</cp:lastModifiedBy>
  <cp:lastPrinted>2006-07-28T05:54:14Z</cp:lastPrinted>
  <dcterms:created xsi:type="dcterms:W3CDTF">1999-09-24T08:17:22Z</dcterms:created>
  <dcterms:modified xsi:type="dcterms:W3CDTF">2006-07-28T05:56:03Z</dcterms:modified>
  <cp:category/>
  <cp:version/>
  <cp:contentType/>
  <cp:contentStatus/>
</cp:coreProperties>
</file>